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showInkAnnotation="0" codeName="EsteLibro"/>
  <mc:AlternateContent xmlns:mc="http://schemas.openxmlformats.org/markup-compatibility/2006">
    <mc:Choice Requires="x15">
      <x15ac:absPath xmlns:x15ac="http://schemas.microsoft.com/office/spreadsheetml/2010/11/ac" url="C:\Users\MVicenta\Desktop\(000) (17) Plan Financiero y Doc y (Nov 16 - En 17)\(00) (Feb 17) Ejercicio, PF y PPT (ok)\"/>
    </mc:Choice>
  </mc:AlternateContent>
  <bookViews>
    <workbookView xWindow="0" yWindow="0" windowWidth="15360" windowHeight="7530" tabRatio="833"/>
  </bookViews>
  <sheets>
    <sheet name="Portada" sheetId="45" r:id="rId1"/>
    <sheet name="Índice" sheetId="44" r:id="rId2"/>
    <sheet name="Manual-Guía" sheetId="57" r:id="rId3"/>
    <sheet name="1.Datos Básicos. Product-Serv" sheetId="1" r:id="rId4"/>
    <sheet name="2.Ventas y Cobros (Ej 1º,2º)" sheetId="12" r:id="rId5"/>
    <sheet name="3.Costes D.V. y Pagos (1º,2º)" sheetId="61" r:id="rId6"/>
    <sheet name="4.Costes Mk y Métricas (1º,2º)" sheetId="62" r:id="rId7"/>
    <sheet name="5. Costes RRHH (Ej 1º,2º)" sheetId="42" r:id="rId8"/>
    <sheet name="6. P y G (Ej 1º,2º)" sheetId="14" r:id="rId9"/>
    <sheet name="7. Plan Invers-Financ (1º,2º)" sheetId="4" r:id="rId10"/>
    <sheet name="(0) 1a. Activos de Partida" sheetId="2" state="hidden" r:id="rId11"/>
    <sheet name="(0) 1b. Pasivos de Partida" sheetId="40" state="hidden" r:id="rId12"/>
    <sheet name="Aux. Amortiz Contable" sheetId="5" state="hidden" r:id="rId13"/>
    <sheet name="(0) 3a. Préstam Particip." sheetId="52" state="hidden" r:id="rId14"/>
    <sheet name="(0) 3b. Préstam Financ." sheetId="9" state="hidden" r:id="rId15"/>
    <sheet name="(0) 3c. Cuadro Renting y L" sheetId="6" state="hidden" r:id="rId16"/>
    <sheet name="8. Tesorería (Ej 1º,2º)" sheetId="16" r:id="rId17"/>
    <sheet name="9. Abrev Balan-CtaR (Ej 1º,2º)" sheetId="63" r:id="rId18"/>
    <sheet name="10. Indicadores (Ej 1º,2º)" sheetId="64" r:id="rId19"/>
    <sheet name="(0) 4. Resumen Balances (5 Ej.)" sheetId="19" state="hidden" r:id="rId20"/>
    <sheet name="(0) 5. Resumen P y G (5 Ej.)" sheetId="18" state="hidden" r:id="rId21"/>
    <sheet name="(0) 6. Mas Indicadores-Objetiv" sheetId="20" state="hidden" r:id="rId22"/>
    <sheet name="Aux 4.1.1Crédito Inicial 1" sheetId="32" state="hidden" r:id="rId23"/>
    <sheet name="Aux 4.1.2. Credito Inicial 2" sheetId="48" state="hidden" r:id="rId24"/>
    <sheet name="Aux 4.1.3.Crédito 1" sheetId="33" state="hidden" r:id="rId25"/>
    <sheet name="Aux 4.2.Crédito 2" sheetId="34" state="hidden" r:id="rId26"/>
    <sheet name="Aux 4.3.Crédito 3" sheetId="35" state="hidden" r:id="rId27"/>
    <sheet name="Aux 4.4.Crédito 4" sheetId="36" state="hidden" r:id="rId28"/>
    <sheet name="Aux 4.5.Crédito 5" sheetId="37" state="hidden" r:id="rId29"/>
    <sheet name="Aux.4.0.Leasing Inicial" sheetId="7" state="hidden" r:id="rId30"/>
    <sheet name="Aux 4.1.Leasing 1" sheetId="21" state="hidden" r:id="rId31"/>
    <sheet name="Aux 4.2.Leasing 2" sheetId="24" state="hidden" r:id="rId32"/>
    <sheet name="Aux 4.3.Leasing 3" sheetId="22" state="hidden" r:id="rId33"/>
    <sheet name="Aux 4.4.Leasing 4" sheetId="23" state="hidden" r:id="rId34"/>
    <sheet name="Aux 4.5.Leasing 5" sheetId="8" state="hidden" r:id="rId35"/>
    <sheet name="P P1" sheetId="53" state="hidden" r:id="rId36"/>
    <sheet name="P P2" sheetId="54" state="hidden" r:id="rId37"/>
    <sheet name="P P3" sheetId="55" state="hidden" r:id="rId38"/>
    <sheet name="P P4" sheetId="56" state="hidden" r:id="rId39"/>
  </sheets>
  <definedNames>
    <definedName name="___INDEX_SHEET___ASAP_Utilities">Índice!_R1C1</definedName>
    <definedName name="Ac_Com_Dos">'3.Costes D.V. y Pagos (1º,2º)'!$AL$80</definedName>
    <definedName name="Acreedores_Comerciales">'(0) 1b. Pasivos de Partida'!$B$25</definedName>
    <definedName name="Acreedores_CP_Financieros">'(0) 1b. Pasivos de Partida'!$B$24</definedName>
    <definedName name="Año_Com_Ejerc_0">'1.Datos Básicos. Product-Serv'!$R$8</definedName>
    <definedName name="Año_Com_Ejerc_1">'1.Datos Básicos. Product-Serv'!$B$11</definedName>
    <definedName name="Año_Com_Ejerc_2">'1.Datos Básicos. Product-Serv'!$E$11</definedName>
    <definedName name="Año_Com_Ejerc_3">'1.Datos Básicos. Product-Serv'!$F$11</definedName>
    <definedName name="Año_Com_Ejerc_4">'1.Datos Básicos. Product-Serv'!$G$11</definedName>
    <definedName name="Año_Com_Ejerc_5">'1.Datos Básicos. Product-Serv'!$H$11</definedName>
    <definedName name="Año_comienzo_Plan">'1.Datos Básicos. Product-Serv'!$B$7</definedName>
    <definedName name="_xlnm.Print_Area" localSheetId="10">'(0) 1a. Activos de Partida'!$A$1:$T$45</definedName>
    <definedName name="_xlnm.Print_Area" localSheetId="11">'(0) 1b. Pasivos de Partida'!$A$1:$K$36</definedName>
    <definedName name="_xlnm.Print_Area" localSheetId="13">'(0) 3a. Préstam Particip.'!$A$1:$L$80</definedName>
    <definedName name="_xlnm.Print_Area" localSheetId="14">'(0) 3b. Préstam Financ.'!$A$1:$O$68</definedName>
    <definedName name="_xlnm.Print_Area" localSheetId="15">'(0) 3c. Cuadro Renting y L'!$A$1:$N$68</definedName>
    <definedName name="_xlnm.Print_Area" localSheetId="19">'(0) 4. Resumen Balances (5 Ej.)'!$A$1:$M$65</definedName>
    <definedName name="_xlnm.Print_Area" localSheetId="20">'(0) 5. Resumen P y G (5 Ej.)'!$A$2:$S$51,'(0) 5. Resumen P y G (5 Ej.)'!$A$53:$S$72</definedName>
    <definedName name="_xlnm.Print_Area" localSheetId="21">'(0) 6. Mas Indicadores-Objetiv'!$A$1:$AY$41</definedName>
    <definedName name="_xlnm.Print_Area" localSheetId="3">'1.Datos Básicos. Product-Serv'!$A$1:$M$32</definedName>
    <definedName name="_xlnm.Print_Area" localSheetId="4">'2.Ventas y Cobros (Ej 1º,2º)'!$A$2:$AK$81,'2.Ventas y Cobros (Ej 1º,2º)'!$A$85:$AJ$109</definedName>
    <definedName name="_xlnm.Print_Area" localSheetId="5">'3.Costes D.V. y Pagos (1º,2º)'!$A$1:$AM$76</definedName>
    <definedName name="_xlnm.Print_Area" localSheetId="6">'4.Costes Mk y Métricas (1º,2º)'!$A$1:$AI$47</definedName>
    <definedName name="_xlnm.Print_Area" localSheetId="7">'5. Costes RRHH (Ej 1º,2º)'!$A$1:$BE$33</definedName>
    <definedName name="_xlnm.Print_Area" localSheetId="8">'6. P y G (Ej 1º,2º)'!$A$1:$AG$58</definedName>
    <definedName name="_xlnm.Print_Area" localSheetId="9">'7. Plan Invers-Financ (1º,2º)'!$A$1:$AX$54</definedName>
    <definedName name="_xlnm.Print_Area" localSheetId="16">'8. Tesorería (Ej 1º,2º)'!$A$1:$AH$54</definedName>
    <definedName name="_xlnm.Print_Area" localSheetId="1">Índice!$B$4:$C$10,Índice!$B$13:$C$32</definedName>
    <definedName name="_xlnm.Print_Area" localSheetId="2">'Manual-Guía'!$A$1:$D$439</definedName>
    <definedName name="_xlnm.Print_Area" localSheetId="0">Portada!$A$1:$J$35</definedName>
    <definedName name="Beneficios_Acumulados_B">'(0) 4. Resumen Balances (5 Ej.)'!$B$23:$B$25</definedName>
    <definedName name="Beneficios_Acumulados_D">'(0) 4. Resumen Balances (5 Ej.)'!$D$23:$D$25</definedName>
    <definedName name="Beneficios_Acumulados_F">'(0) 4. Resumen Balances (5 Ej.)'!$F$23:$F$25</definedName>
    <definedName name="Beneficios_Acumulados_H">'(0) 4. Resumen Balances (5 Ej.)'!$H$23:$H$25</definedName>
    <definedName name="Beneficios_Acumulados_J">'(0) 4. Resumen Balances (5 Ej.)'!$J$23:$J$25</definedName>
    <definedName name="Capital" localSheetId="15">'(0) 3c. Cuadro Renting y L'!#REF!</definedName>
    <definedName name="Capital" localSheetId="4">#REF!</definedName>
    <definedName name="Capital" localSheetId="30">'Aux 4.1.Leasing 1'!$B$5</definedName>
    <definedName name="Capital" localSheetId="31">'Aux 4.2.Leasing 2'!$B$5</definedName>
    <definedName name="Capital" localSheetId="32">'Aux 4.3.Leasing 3'!$B$5</definedName>
    <definedName name="Capital" localSheetId="33">'Aux 4.4.Leasing 4'!$B$5</definedName>
    <definedName name="Capital" localSheetId="34">'Aux 4.5.Leasing 5'!$B$5</definedName>
    <definedName name="Capital" localSheetId="29">'Aux.4.0.Leasing Inicial'!$B$5</definedName>
    <definedName name="Capital1" localSheetId="4">#REF!</definedName>
    <definedName name="Consolidación?">'1.Datos Básicos. Product-Serv'!$J$11</definedName>
    <definedName name="Deuda_Clientes">'(0) 1a. Activos de Partida'!$B$37</definedName>
    <definedName name="Enero">'2.Ventas y Cobros (Ej 1º,2º)'!$D$8</definedName>
    <definedName name="Interes" localSheetId="15">'(0) 3c. Cuadro Renting y L'!#REF!</definedName>
    <definedName name="Interes" localSheetId="4">#REF!</definedName>
    <definedName name="Interes" localSheetId="30">'Aux 4.1.Leasing 1'!$B$6</definedName>
    <definedName name="Interes" localSheetId="31">'Aux 4.2.Leasing 2'!$B$6</definedName>
    <definedName name="Interes" localSheetId="32">'Aux 4.3.Leasing 3'!$B$6</definedName>
    <definedName name="Interes" localSheetId="33">'Aux 4.4.Leasing 4'!$B$6</definedName>
    <definedName name="Interes" localSheetId="34">'Aux 4.5.Leasing 5'!$B$6</definedName>
    <definedName name="Interes" localSheetId="29">'Aux.4.0.Leasing Inicial'!$B$6</definedName>
    <definedName name="interes1" localSheetId="4">#REF!</definedName>
    <definedName name="Otros_Acreed_LP">'(0) 1b. Pasivos de Partida'!$B$22</definedName>
    <definedName name="Otros_Acreedores_C.P.__HP">'(0) 1b. Pasivos de Partida'!$B$28</definedName>
    <definedName name="Otros_Acreedores_CP_HP">'(0) 1b. Pasivos de Partida'!$B$28</definedName>
    <definedName name="Otros_Acreedores_L.P.">'(0) 1b. Pasivos de Partida'!$G$22</definedName>
    <definedName name="Otros_Deudores">'(0) 1a. Activos de Partida'!$B$38</definedName>
    <definedName name="Otros_Pagos_Pdte_a_LP">'7. Plan Invers-Financ (1º,2º)'!$BG$121</definedName>
    <definedName name="Pagos_Pdte_Proveed_y_Socios_LP">#REF!</definedName>
    <definedName name="Pagos_Pdtes_a_Acreed._Comerciales_a_CP">'3.Costes D.V. y Pagos (1º,2º)'!$B$80</definedName>
    <definedName name="Pagos_Pdtes_a_Administraciones_Públicas">'(0) 1b. Pasivos de Partida'!$B$29+'(0) 1b. Pasivos de Partida'!$B$29:$B$30</definedName>
    <definedName name="Pdte_Clientes">'2.Ventas y Cobros (Ej 1º,2º)'!$R$70</definedName>
    <definedName name="Pdte_Cobro_C">'2.Ventas y Cobros (Ej 1º,2º)'!$U$70:$V$70</definedName>
    <definedName name="Pdte_Cobro_D">'2.Ventas y Cobros (Ej 1º,2º)'!$U$71:$V$71</definedName>
    <definedName name="Pdte_Deudores">'2.Ventas y Cobros (Ej 1º,2º)'!$R$71</definedName>
    <definedName name="Pdte_Pago_Dos">'3.Costes D.V. y Pagos (1º,2º)'!$U$80:$V$80</definedName>
    <definedName name="Pdte_Pago_SS">'3.Costes D.V. y Pagos (1º,2º)'!$U$82:$V$82</definedName>
    <definedName name="Pdte_Sal_Dos">'3.Costes D.V. y Pagos (1º,2º)'!$U$81:$V$81</definedName>
    <definedName name="Salarios_a_Pagar">'(0) 1b. Pasivos de Partida'!$B$27</definedName>
    <definedName name="_xlnm.Print_Titles" localSheetId="14">'(0) 3b. Préstam Financ.'!$A:$A</definedName>
    <definedName name="_xlnm.Print_Titles" localSheetId="15">'(0) 3c. Cuadro Renting y L'!$A:$A,'(0) 3c. Cuadro Renting y L'!$1:$1</definedName>
    <definedName name="_xlnm.Print_Titles" localSheetId="7">'5. Costes RRHH (Ej 1º,2º)'!$A:$A</definedName>
    <definedName name="_xlnm.Print_Titles" localSheetId="9">'7. Plan Invers-Financ (1º,2º)'!$1:$1</definedName>
    <definedName name="Tot_ventas_año1" localSheetId="4">#REF!</definedName>
  </definedNames>
  <calcPr calcId="171027"/>
</workbook>
</file>

<file path=xl/calcChain.xml><?xml version="1.0" encoding="utf-8"?>
<calcChain xmlns="http://schemas.openxmlformats.org/spreadsheetml/2006/main">
  <c r="W6" i="12" l="1"/>
  <c r="U8" i="62"/>
  <c r="U7" i="62"/>
  <c r="S18" i="14" l="1"/>
  <c r="D27" i="14"/>
  <c r="E27" i="14" s="1"/>
  <c r="F27" i="14" s="1"/>
  <c r="G27" i="14" s="1"/>
  <c r="H27" i="14" s="1"/>
  <c r="I27" i="14" s="1"/>
  <c r="J27" i="14" s="1"/>
  <c r="K27" i="14" s="1"/>
  <c r="L27" i="14" s="1"/>
  <c r="M27" i="14" s="1"/>
  <c r="N27" i="14" s="1"/>
  <c r="AF16" i="42"/>
  <c r="AB53" i="61"/>
  <c r="AB54" i="61"/>
  <c r="E15" i="12"/>
  <c r="F15" i="12" s="1"/>
  <c r="G15" i="12" s="1"/>
  <c r="H15" i="12" s="1"/>
  <c r="I15" i="12" s="1"/>
  <c r="J15" i="12" s="1"/>
  <c r="K15" i="12" s="1"/>
  <c r="L15" i="12" s="1"/>
  <c r="M15" i="12" s="1"/>
  <c r="N15" i="12" s="1"/>
  <c r="O15" i="12" s="1"/>
  <c r="W15" i="12" s="1"/>
  <c r="E13" i="12"/>
  <c r="F13" i="12" s="1"/>
  <c r="G13" i="12" s="1"/>
  <c r="H13" i="12" s="1"/>
  <c r="I13" i="12" s="1"/>
  <c r="J13" i="12" s="1"/>
  <c r="K13" i="12" s="1"/>
  <c r="L13" i="12" s="1"/>
  <c r="M13" i="12" s="1"/>
  <c r="N13" i="12" s="1"/>
  <c r="O13" i="12" s="1"/>
  <c r="W13" i="12" s="1"/>
  <c r="E11" i="12"/>
  <c r="F11" i="12" s="1"/>
  <c r="G11" i="12" s="1"/>
  <c r="H11" i="12" s="1"/>
  <c r="I11" i="12" s="1"/>
  <c r="J11" i="12" s="1"/>
  <c r="K11" i="12" s="1"/>
  <c r="L11" i="12" s="1"/>
  <c r="M11" i="12" s="1"/>
  <c r="N11" i="12" s="1"/>
  <c r="O11" i="12" s="1"/>
  <c r="W11" i="12" s="1"/>
  <c r="E9" i="12"/>
  <c r="F9" i="12" s="1"/>
  <c r="G9" i="12" s="1"/>
  <c r="H9" i="12" s="1"/>
  <c r="I9" i="12" s="1"/>
  <c r="J9" i="12" s="1"/>
  <c r="K9" i="12" s="1"/>
  <c r="L9" i="12" s="1"/>
  <c r="M9" i="12" s="1"/>
  <c r="N9" i="12" s="1"/>
  <c r="O9" i="12" s="1"/>
  <c r="W9" i="12" s="1"/>
  <c r="F6" i="12"/>
  <c r="Z45" i="12"/>
  <c r="Z46" i="12"/>
  <c r="Z47" i="12"/>
  <c r="Z48" i="12"/>
  <c r="Z49" i="12"/>
  <c r="Z42" i="12"/>
  <c r="Z41" i="12"/>
  <c r="AS49" i="4" l="1"/>
  <c r="AR49" i="4"/>
  <c r="AQ49" i="4"/>
  <c r="AP49" i="4"/>
  <c r="AO49" i="4"/>
  <c r="AF49" i="4" l="1"/>
  <c r="AG49" i="4"/>
  <c r="AH49" i="4"/>
  <c r="AE49" i="4"/>
  <c r="AD49" i="4"/>
  <c r="B28" i="40" l="1"/>
  <c r="M10" i="42" l="1"/>
  <c r="AC40" i="62"/>
  <c r="AC38" i="62"/>
  <c r="F30" i="63" l="1"/>
  <c r="I30" i="63"/>
  <c r="C3" i="40" l="1"/>
  <c r="C3" i="2"/>
  <c r="B14" i="40" l="1"/>
  <c r="O31" i="4"/>
  <c r="C39" i="20"/>
  <c r="C37" i="20"/>
  <c r="X23" i="62" l="1"/>
  <c r="Y23" i="62" s="1"/>
  <c r="E23" i="62"/>
  <c r="AI20" i="62"/>
  <c r="P20" i="62"/>
  <c r="Z23" i="62" l="1"/>
  <c r="F23" i="62"/>
  <c r="AL26" i="61"/>
  <c r="AA23" i="62" l="1"/>
  <c r="G23" i="62"/>
  <c r="M15" i="42"/>
  <c r="AB23" i="62" l="1"/>
  <c r="H23" i="62"/>
  <c r="AC23" i="62" l="1"/>
  <c r="I23" i="62"/>
  <c r="K21" i="6"/>
  <c r="K20" i="6"/>
  <c r="K19" i="6"/>
  <c r="K18" i="6"/>
  <c r="J21" i="6"/>
  <c r="J20" i="6"/>
  <c r="J19" i="6"/>
  <c r="J18" i="6"/>
  <c r="L22" i="9"/>
  <c r="L21" i="9"/>
  <c r="L20" i="9"/>
  <c r="L19" i="9"/>
  <c r="L18" i="9"/>
  <c r="K22" i="9"/>
  <c r="K21" i="9"/>
  <c r="K20" i="9"/>
  <c r="K19" i="9"/>
  <c r="K18" i="9"/>
  <c r="K22" i="52"/>
  <c r="K21" i="52"/>
  <c r="K20" i="52"/>
  <c r="K19" i="52"/>
  <c r="K18" i="52"/>
  <c r="J22" i="52"/>
  <c r="J21" i="52"/>
  <c r="J20" i="52"/>
  <c r="J19" i="52"/>
  <c r="J18" i="52"/>
  <c r="BB51" i="4"/>
  <c r="AY51" i="4"/>
  <c r="AV51" i="4"/>
  <c r="AL51" i="4"/>
  <c r="AA51" i="4"/>
  <c r="BB43" i="4"/>
  <c r="AY43" i="4"/>
  <c r="AV43" i="4"/>
  <c r="AL45" i="4"/>
  <c r="AA45" i="4"/>
  <c r="BB45" i="4"/>
  <c r="AY45" i="4"/>
  <c r="AV45" i="4"/>
  <c r="AL47" i="4"/>
  <c r="AA47" i="4"/>
  <c r="BB40" i="4"/>
  <c r="AY40" i="4"/>
  <c r="AV40" i="4"/>
  <c r="AL42" i="4"/>
  <c r="AA42" i="4"/>
  <c r="AD23" i="62" l="1"/>
  <c r="J23" i="62"/>
  <c r="J22" i="9"/>
  <c r="J21" i="9"/>
  <c r="J20" i="9"/>
  <c r="J19" i="9"/>
  <c r="J18" i="9"/>
  <c r="I22" i="52"/>
  <c r="I21" i="52"/>
  <c r="I20" i="52"/>
  <c r="I19" i="52"/>
  <c r="I18" i="52"/>
  <c r="AE23" i="62" l="1"/>
  <c r="K23" i="62"/>
  <c r="O28" i="4"/>
  <c r="O40" i="4"/>
  <c r="O21" i="4"/>
  <c r="O25" i="4"/>
  <c r="AF23" i="62" l="1"/>
  <c r="L23" i="62"/>
  <c r="G38" i="4"/>
  <c r="G39" i="4" s="1"/>
  <c r="D39" i="4"/>
  <c r="D36" i="4" s="1"/>
  <c r="C39" i="4"/>
  <c r="C36" i="4" s="1"/>
  <c r="C28" i="4"/>
  <c r="D28" i="4"/>
  <c r="AA27" i="4"/>
  <c r="AL27" i="4"/>
  <c r="AV27" i="4"/>
  <c r="AY27" i="4"/>
  <c r="BB27" i="4"/>
  <c r="G33" i="4"/>
  <c r="G34" i="4" s="1"/>
  <c r="D34" i="4"/>
  <c r="C34" i="4"/>
  <c r="G30" i="4"/>
  <c r="G31" i="4" s="1"/>
  <c r="G27" i="4"/>
  <c r="G26" i="4"/>
  <c r="G25" i="4"/>
  <c r="G24" i="4"/>
  <c r="G15" i="4"/>
  <c r="G16" i="4"/>
  <c r="G17" i="4"/>
  <c r="G18" i="4"/>
  <c r="G19" i="4"/>
  <c r="G20" i="4"/>
  <c r="G21" i="4"/>
  <c r="G14" i="4"/>
  <c r="G13" i="4"/>
  <c r="C23" i="5"/>
  <c r="C22" i="5"/>
  <c r="C21" i="5"/>
  <c r="C20" i="5"/>
  <c r="C17" i="5"/>
  <c r="C16" i="5"/>
  <c r="C15" i="5"/>
  <c r="C14" i="5"/>
  <c r="C13" i="5"/>
  <c r="C12" i="5"/>
  <c r="C11" i="5"/>
  <c r="C10" i="5"/>
  <c r="C9" i="5"/>
  <c r="AG23" i="62" l="1"/>
  <c r="M23" i="62"/>
  <c r="G28" i="4"/>
  <c r="G22" i="4"/>
  <c r="K70" i="14"/>
  <c r="K71" i="14"/>
  <c r="AH23" i="62" l="1"/>
  <c r="N23" i="62"/>
  <c r="G11" i="4"/>
  <c r="M55" i="62"/>
  <c r="M54" i="62"/>
  <c r="AF54" i="62"/>
  <c r="AF55" i="62"/>
  <c r="O23" i="62" l="1"/>
  <c r="P9" i="62"/>
  <c r="V79" i="12" l="1"/>
  <c r="AI9" i="62" l="1"/>
  <c r="AR22" i="12"/>
  <c r="O39" i="14" l="1"/>
  <c r="AF39" i="14"/>
  <c r="C46" i="16"/>
  <c r="D46" i="16"/>
  <c r="E46" i="16"/>
  <c r="F46" i="16"/>
  <c r="G46" i="16"/>
  <c r="H46" i="16"/>
  <c r="I46" i="16"/>
  <c r="J46" i="16"/>
  <c r="K46" i="16"/>
  <c r="L46" i="16"/>
  <c r="M46" i="16"/>
  <c r="N46" i="16"/>
  <c r="T46" i="16"/>
  <c r="U46" i="16"/>
  <c r="V46" i="16"/>
  <c r="W46" i="16"/>
  <c r="X46" i="16"/>
  <c r="Y46" i="16"/>
  <c r="AC46" i="16"/>
  <c r="AD46" i="16"/>
  <c r="AE46" i="16"/>
  <c r="O46" i="16" l="1"/>
  <c r="AK80" i="61" l="1"/>
  <c r="AK81" i="61"/>
  <c r="AK82" i="61"/>
  <c r="P80" i="61"/>
  <c r="Q80" i="61" s="1"/>
  <c r="AL80" i="61" s="1"/>
  <c r="P81" i="61"/>
  <c r="Q81" i="61" s="1"/>
  <c r="P82" i="61"/>
  <c r="Q82" i="61" s="1"/>
  <c r="AB56" i="61"/>
  <c r="AB55" i="61"/>
  <c r="AB57" i="61"/>
  <c r="AB58" i="61"/>
  <c r="AB59" i="61"/>
  <c r="AB60" i="61"/>
  <c r="AB61" i="61"/>
  <c r="AK65" i="61"/>
  <c r="P65" i="61"/>
  <c r="Z50" i="12"/>
  <c r="AI70" i="12"/>
  <c r="AI71" i="12"/>
  <c r="P70" i="12"/>
  <c r="R70" i="12" s="1"/>
  <c r="P71" i="12"/>
  <c r="R71" i="12" s="1"/>
  <c r="AI54" i="12"/>
  <c r="P54" i="12"/>
  <c r="B15" i="12"/>
  <c r="D16" i="12" s="1"/>
  <c r="U36" i="61"/>
  <c r="B15" i="61"/>
  <c r="B14" i="61"/>
  <c r="B13" i="61"/>
  <c r="B12" i="61"/>
  <c r="B11" i="61"/>
  <c r="B10" i="61"/>
  <c r="B9" i="61"/>
  <c r="B8" i="61"/>
  <c r="B23" i="12"/>
  <c r="D24" i="12" s="1"/>
  <c r="B21" i="12"/>
  <c r="D22" i="12" s="1"/>
  <c r="B19" i="12"/>
  <c r="D20" i="12" s="1"/>
  <c r="B17" i="12"/>
  <c r="D18" i="12" s="1"/>
  <c r="B13" i="12"/>
  <c r="D14" i="12" s="1"/>
  <c r="B11" i="12"/>
  <c r="D12" i="12" s="1"/>
  <c r="B9" i="12"/>
  <c r="D10" i="12" s="1"/>
  <c r="C24" i="12"/>
  <c r="C22" i="12"/>
  <c r="C20" i="12"/>
  <c r="C18" i="12"/>
  <c r="C16" i="12"/>
  <c r="C14" i="12"/>
  <c r="G6" i="12"/>
  <c r="H6" i="12" s="1"/>
  <c r="J34" i="2"/>
  <c r="I34" i="2"/>
  <c r="H34" i="2"/>
  <c r="H33" i="2" s="1"/>
  <c r="H32" i="2" s="1"/>
  <c r="I29" i="2"/>
  <c r="H29" i="2"/>
  <c r="D31" i="4"/>
  <c r="C31" i="4"/>
  <c r="J31" i="2"/>
  <c r="I31" i="2"/>
  <c r="H31" i="2"/>
  <c r="K28" i="2"/>
  <c r="A30" i="4"/>
  <c r="I23" i="2"/>
  <c r="J23" i="2"/>
  <c r="J22" i="2"/>
  <c r="I22" i="2"/>
  <c r="J21" i="2"/>
  <c r="I21" i="2"/>
  <c r="J20" i="2"/>
  <c r="I20" i="2"/>
  <c r="J11" i="2"/>
  <c r="J12" i="2"/>
  <c r="J13" i="2"/>
  <c r="J14" i="2"/>
  <c r="J15" i="2"/>
  <c r="J16" i="2"/>
  <c r="J17" i="2"/>
  <c r="J18" i="2"/>
  <c r="J10" i="2"/>
  <c r="J9" i="2"/>
  <c r="I11" i="2"/>
  <c r="I12" i="2"/>
  <c r="I13" i="2"/>
  <c r="I14" i="2"/>
  <c r="I15" i="2"/>
  <c r="I16" i="2"/>
  <c r="I17" i="2"/>
  <c r="I10" i="2"/>
  <c r="I9" i="2"/>
  <c r="D22" i="4"/>
  <c r="D11" i="4" s="1"/>
  <c r="M11" i="42"/>
  <c r="O43" i="4"/>
  <c r="A42" i="18"/>
  <c r="BB70" i="4"/>
  <c r="P42" i="18" s="1"/>
  <c r="R42" i="18" s="1"/>
  <c r="AY70" i="4"/>
  <c r="M42" i="18" s="1"/>
  <c r="O42" i="18" s="1"/>
  <c r="AV70" i="4"/>
  <c r="J42" i="18" s="1"/>
  <c r="AL53" i="4"/>
  <c r="T38" i="14" s="1"/>
  <c r="AF38" i="14" s="1"/>
  <c r="AA53" i="4"/>
  <c r="AG10" i="42"/>
  <c r="AG15" i="42"/>
  <c r="M22" i="42"/>
  <c r="N22" i="42" s="1"/>
  <c r="M21" i="42"/>
  <c r="N21" i="42" s="1"/>
  <c r="M20" i="42"/>
  <c r="N20" i="42" s="1"/>
  <c r="M19" i="42"/>
  <c r="M18" i="42"/>
  <c r="M17" i="42"/>
  <c r="M16" i="42"/>
  <c r="M13" i="42"/>
  <c r="M12" i="42"/>
  <c r="Q13" i="42"/>
  <c r="Q12" i="42"/>
  <c r="Q11" i="42"/>
  <c r="Q10" i="42"/>
  <c r="D30" i="16"/>
  <c r="Y16" i="42"/>
  <c r="Y11" i="42"/>
  <c r="AF10" i="42"/>
  <c r="AH10" i="42" s="1"/>
  <c r="O13" i="42"/>
  <c r="O12" i="42"/>
  <c r="O11" i="42"/>
  <c r="O10" i="42"/>
  <c r="Y17" i="42"/>
  <c r="Y18" i="42"/>
  <c r="Y19" i="42"/>
  <c r="Y20" i="42"/>
  <c r="Z20" i="42" s="1"/>
  <c r="Y21" i="42"/>
  <c r="Z21" i="42" s="1"/>
  <c r="Y22" i="42"/>
  <c r="Z22" i="42" s="1"/>
  <c r="Y15" i="42"/>
  <c r="Y12" i="42"/>
  <c r="AA12" i="42"/>
  <c r="Y13" i="42"/>
  <c r="AA13" i="42"/>
  <c r="AA11" i="42"/>
  <c r="AA10" i="42"/>
  <c r="Y10" i="42"/>
  <c r="U17" i="42"/>
  <c r="U18" i="42"/>
  <c r="U19" i="42"/>
  <c r="U20" i="42"/>
  <c r="V20" i="42" s="1"/>
  <c r="U21" i="42"/>
  <c r="V21" i="42" s="1"/>
  <c r="U22" i="42"/>
  <c r="V22" i="42" s="1"/>
  <c r="U15" i="42"/>
  <c r="U12" i="42"/>
  <c r="W12" i="42"/>
  <c r="U13" i="42"/>
  <c r="W13" i="42"/>
  <c r="W11" i="42"/>
  <c r="W10" i="42"/>
  <c r="U11" i="42"/>
  <c r="U10" i="42"/>
  <c r="Q17" i="42"/>
  <c r="Q18" i="42"/>
  <c r="Q19" i="42"/>
  <c r="Q20" i="42"/>
  <c r="R20" i="42" s="1"/>
  <c r="Q21" i="42"/>
  <c r="R21" i="42" s="1"/>
  <c r="Q22" i="42"/>
  <c r="R22" i="42" s="1"/>
  <c r="Q16" i="42"/>
  <c r="Q15" i="42"/>
  <c r="S12" i="42"/>
  <c r="S13" i="42"/>
  <c r="S11" i="42"/>
  <c r="S10" i="42"/>
  <c r="BB8" i="42"/>
  <c r="AX8" i="42"/>
  <c r="AT8" i="42"/>
  <c r="AP8" i="42"/>
  <c r="L17" i="20"/>
  <c r="X26" i="7"/>
  <c r="W26" i="7"/>
  <c r="Y17" i="14"/>
  <c r="Y25" i="16" s="1"/>
  <c r="Z17" i="14"/>
  <c r="Z25" i="16" s="1"/>
  <c r="AA17" i="14"/>
  <c r="AA25" i="16" s="1"/>
  <c r="B22" i="40"/>
  <c r="S28" i="14"/>
  <c r="T28" i="14" s="1"/>
  <c r="T36" i="16" s="1"/>
  <c r="T18" i="14"/>
  <c r="U18" i="14" s="1"/>
  <c r="AF17" i="42"/>
  <c r="BI17" i="42" s="1"/>
  <c r="BL17" i="42" s="1"/>
  <c r="AF18" i="42"/>
  <c r="AL18" i="42" s="1"/>
  <c r="AF12" i="42"/>
  <c r="AM13" i="42"/>
  <c r="BM13" i="42" s="1"/>
  <c r="BU13" i="42" s="1"/>
  <c r="CC13" i="42" s="1"/>
  <c r="AM11" i="42"/>
  <c r="BM11" i="42" s="1"/>
  <c r="BU11" i="42" s="1"/>
  <c r="CC11" i="42" s="1"/>
  <c r="P34" i="18"/>
  <c r="R34" i="18" s="1"/>
  <c r="M34" i="18"/>
  <c r="O34" i="18" s="1"/>
  <c r="N21" i="2"/>
  <c r="N22" i="2"/>
  <c r="N23" i="2"/>
  <c r="N20" i="2"/>
  <c r="N11" i="2"/>
  <c r="N12" i="2"/>
  <c r="N13" i="2"/>
  <c r="N14" i="2"/>
  <c r="N15" i="2"/>
  <c r="N16" i="2"/>
  <c r="N17" i="2"/>
  <c r="N10" i="2"/>
  <c r="K17" i="52"/>
  <c r="L17" i="52"/>
  <c r="I6" i="56" s="1"/>
  <c r="Q13" i="56" s="1"/>
  <c r="J17" i="52"/>
  <c r="G43" i="18"/>
  <c r="D43" i="18"/>
  <c r="AA40" i="4"/>
  <c r="BB65" i="4"/>
  <c r="BB64" i="4"/>
  <c r="AY65" i="4"/>
  <c r="AY64" i="4"/>
  <c r="AV65" i="4"/>
  <c r="AV64" i="4"/>
  <c r="AL65" i="4"/>
  <c r="AL64" i="4"/>
  <c r="AL63" i="4"/>
  <c r="K17" i="6" s="1"/>
  <c r="AA65" i="4"/>
  <c r="AA64" i="4"/>
  <c r="BB63" i="4"/>
  <c r="N17" i="6" s="1"/>
  <c r="AY63" i="4"/>
  <c r="M17" i="6" s="1"/>
  <c r="I6" i="23" s="1"/>
  <c r="AV63" i="4"/>
  <c r="L17" i="6" s="1"/>
  <c r="I6" i="22" s="1"/>
  <c r="AA63" i="4"/>
  <c r="J17" i="6" s="1"/>
  <c r="B5" i="21" s="1"/>
  <c r="BB38" i="4"/>
  <c r="BB62" i="4" s="1"/>
  <c r="AY38" i="4"/>
  <c r="AY62" i="4" s="1"/>
  <c r="AV38" i="4"/>
  <c r="AV62" i="4" s="1"/>
  <c r="AL40" i="4"/>
  <c r="AL62" i="4" s="1"/>
  <c r="BB60" i="4"/>
  <c r="AY60" i="4"/>
  <c r="AV60" i="4"/>
  <c r="AL60" i="4"/>
  <c r="AA60" i="4"/>
  <c r="B16" i="40"/>
  <c r="B26" i="19" s="1"/>
  <c r="O15" i="4"/>
  <c r="B9" i="40"/>
  <c r="B22" i="19" s="1"/>
  <c r="D22" i="19" s="1"/>
  <c r="F22" i="19" s="1"/>
  <c r="H22" i="19" s="1"/>
  <c r="J22" i="19" s="1"/>
  <c r="L22" i="19" s="1"/>
  <c r="R17" i="9"/>
  <c r="T30" i="14"/>
  <c r="T38" i="16" s="1"/>
  <c r="B24" i="19"/>
  <c r="B23" i="19"/>
  <c r="B15" i="40"/>
  <c r="E65" i="18" s="1"/>
  <c r="B8" i="40"/>
  <c r="A39" i="18"/>
  <c r="A33" i="18"/>
  <c r="A34" i="18"/>
  <c r="H21" i="2"/>
  <c r="H22" i="2"/>
  <c r="H23" i="2"/>
  <c r="H20" i="2"/>
  <c r="H10" i="2"/>
  <c r="H11" i="2"/>
  <c r="H12" i="2"/>
  <c r="H13" i="2"/>
  <c r="H14" i="2"/>
  <c r="H15" i="2"/>
  <c r="H16" i="2"/>
  <c r="H17" i="2"/>
  <c r="H9" i="2"/>
  <c r="C22" i="4"/>
  <c r="B20" i="40"/>
  <c r="J17" i="9" s="1"/>
  <c r="B5" i="48" s="1"/>
  <c r="A32" i="18"/>
  <c r="U17" i="14"/>
  <c r="U25" i="16" s="1"/>
  <c r="V17" i="14"/>
  <c r="V25" i="16" s="1"/>
  <c r="W17" i="14"/>
  <c r="W25" i="16" s="1"/>
  <c r="X17" i="14"/>
  <c r="X25" i="16" s="1"/>
  <c r="AB17" i="14"/>
  <c r="AB25" i="16" s="1"/>
  <c r="AC17" i="14"/>
  <c r="AC25" i="16" s="1"/>
  <c r="AD17" i="14"/>
  <c r="AD25" i="16" s="1"/>
  <c r="AE17" i="14"/>
  <c r="AE25" i="16" s="1"/>
  <c r="T17" i="14"/>
  <c r="T25" i="16" s="1"/>
  <c r="AE11" i="14"/>
  <c r="AF11" i="14" s="1"/>
  <c r="AI90" i="12"/>
  <c r="B8" i="48"/>
  <c r="B8" i="7"/>
  <c r="B7" i="7"/>
  <c r="E9" i="48"/>
  <c r="I9" i="48"/>
  <c r="B7" i="48"/>
  <c r="B6" i="48"/>
  <c r="I9" i="32"/>
  <c r="B8" i="32"/>
  <c r="B7" i="32"/>
  <c r="B6" i="32"/>
  <c r="E9" i="53"/>
  <c r="I9" i="53"/>
  <c r="B8" i="53"/>
  <c r="B7" i="53"/>
  <c r="B6" i="53"/>
  <c r="D22" i="5"/>
  <c r="F22" i="5" s="1"/>
  <c r="D23" i="5"/>
  <c r="F23" i="5" s="1"/>
  <c r="D21" i="5"/>
  <c r="F21" i="5" s="1"/>
  <c r="D20" i="5"/>
  <c r="F20" i="5" s="1"/>
  <c r="D11" i="5"/>
  <c r="D12" i="5"/>
  <c r="D13" i="5"/>
  <c r="D14" i="5"/>
  <c r="D15" i="5"/>
  <c r="D16" i="5"/>
  <c r="D17" i="5"/>
  <c r="D10" i="5"/>
  <c r="AE23" i="16"/>
  <c r="AF44" i="16"/>
  <c r="A26" i="4"/>
  <c r="Y25" i="4" s="1"/>
  <c r="A22" i="5"/>
  <c r="U8" i="33"/>
  <c r="U8" i="48"/>
  <c r="U8" i="37"/>
  <c r="U6" i="37"/>
  <c r="U5" i="37"/>
  <c r="U4" i="37"/>
  <c r="U3" i="37"/>
  <c r="U8" i="36"/>
  <c r="U5" i="36"/>
  <c r="U4" i="36"/>
  <c r="U3" i="36"/>
  <c r="U8" i="32"/>
  <c r="U8" i="8"/>
  <c r="U6" i="8"/>
  <c r="U5" i="8"/>
  <c r="U4" i="8"/>
  <c r="U3" i="8"/>
  <c r="U8" i="23"/>
  <c r="U8" i="22"/>
  <c r="U4" i="22"/>
  <c r="U3" i="22"/>
  <c r="U8" i="24"/>
  <c r="U8" i="21"/>
  <c r="W16" i="7"/>
  <c r="X16" i="7"/>
  <c r="U8" i="7"/>
  <c r="Y26" i="7"/>
  <c r="Z60" i="16"/>
  <c r="Z59" i="16"/>
  <c r="AF63" i="16"/>
  <c r="V23" i="16"/>
  <c r="W23" i="16"/>
  <c r="X23" i="16"/>
  <c r="Y23" i="16"/>
  <c r="Z23" i="16"/>
  <c r="AA23" i="16"/>
  <c r="AB23" i="16"/>
  <c r="AC23" i="16"/>
  <c r="AD23" i="16"/>
  <c r="U23" i="16"/>
  <c r="T23" i="16"/>
  <c r="U20" i="16"/>
  <c r="V20" i="16"/>
  <c r="W20" i="16"/>
  <c r="X20" i="16"/>
  <c r="Y20" i="16"/>
  <c r="Z20" i="16"/>
  <c r="AA20" i="16"/>
  <c r="AB20" i="16"/>
  <c r="AC20" i="16"/>
  <c r="AD20" i="16"/>
  <c r="AE20" i="16"/>
  <c r="T20" i="16"/>
  <c r="V14" i="16"/>
  <c r="W14" i="16"/>
  <c r="X14" i="16"/>
  <c r="Y14" i="16"/>
  <c r="Z14" i="16"/>
  <c r="AA14" i="16"/>
  <c r="AB14" i="16"/>
  <c r="AC14" i="16"/>
  <c r="AD14" i="16"/>
  <c r="AE14" i="16"/>
  <c r="U14" i="16"/>
  <c r="T14" i="16"/>
  <c r="AF45" i="16"/>
  <c r="AF43" i="16"/>
  <c r="AE42" i="16"/>
  <c r="AD42" i="16"/>
  <c r="AC42" i="16"/>
  <c r="AB42" i="16"/>
  <c r="AA42" i="16"/>
  <c r="Z42" i="16"/>
  <c r="Y42" i="16"/>
  <c r="X42" i="16"/>
  <c r="W42" i="16"/>
  <c r="V42" i="16"/>
  <c r="U42" i="16"/>
  <c r="T42" i="16"/>
  <c r="AF16" i="16"/>
  <c r="AE15" i="16"/>
  <c r="AD15" i="16"/>
  <c r="AC15" i="16"/>
  <c r="AB15" i="16"/>
  <c r="AA15" i="16"/>
  <c r="Z15" i="16"/>
  <c r="Y15" i="16"/>
  <c r="X15" i="16"/>
  <c r="W15" i="16"/>
  <c r="V15" i="16"/>
  <c r="U15" i="16"/>
  <c r="T15" i="16"/>
  <c r="L8" i="12"/>
  <c r="L18" i="62" s="1"/>
  <c r="AE18" i="62" s="1"/>
  <c r="B34" i="19"/>
  <c r="J34" i="18"/>
  <c r="L34" i="18" s="1"/>
  <c r="AM16" i="42"/>
  <c r="BM16" i="42" s="1"/>
  <c r="BU16" i="42" s="1"/>
  <c r="CC16" i="42" s="1"/>
  <c r="AM17" i="42"/>
  <c r="AX17" i="42" s="1"/>
  <c r="AM19" i="42"/>
  <c r="BM19" i="42" s="1"/>
  <c r="BU19" i="42" s="1"/>
  <c r="CC19" i="42" s="1"/>
  <c r="AM20" i="42"/>
  <c r="BM20" i="42" s="1"/>
  <c r="BU20" i="42" s="1"/>
  <c r="CC20" i="42" s="1"/>
  <c r="AM21" i="42"/>
  <c r="BM21" i="42" s="1"/>
  <c r="BU21" i="42" s="1"/>
  <c r="AM22" i="42"/>
  <c r="BM22" i="42" s="1"/>
  <c r="BU22" i="42" s="1"/>
  <c r="CC22" i="42" s="1"/>
  <c r="AM15" i="42"/>
  <c r="BM15" i="42" s="1"/>
  <c r="BU15" i="42" s="1"/>
  <c r="CC15" i="42" s="1"/>
  <c r="E30" i="2"/>
  <c r="E59" i="16"/>
  <c r="G41" i="42"/>
  <c r="G42" i="42" s="1"/>
  <c r="G40" i="42"/>
  <c r="J42" i="42"/>
  <c r="I9" i="56"/>
  <c r="E9" i="56"/>
  <c r="B8" i="56"/>
  <c r="B7" i="56"/>
  <c r="B6" i="56"/>
  <c r="I9" i="55"/>
  <c r="E9" i="55"/>
  <c r="B8" i="55"/>
  <c r="I13" i="55" s="1"/>
  <c r="B7" i="55"/>
  <c r="B6" i="55"/>
  <c r="B8" i="54"/>
  <c r="B7" i="54"/>
  <c r="I9" i="54"/>
  <c r="E9" i="54"/>
  <c r="B6" i="54"/>
  <c r="A1" i="52"/>
  <c r="O44" i="16"/>
  <c r="P44" i="16" s="1"/>
  <c r="B37" i="18"/>
  <c r="F37" i="18" s="1"/>
  <c r="E9" i="33"/>
  <c r="E9" i="34"/>
  <c r="E9" i="35"/>
  <c r="E9" i="36"/>
  <c r="E9" i="37"/>
  <c r="E9" i="32"/>
  <c r="N8" i="8"/>
  <c r="N8" i="23"/>
  <c r="N8" i="22"/>
  <c r="N8" i="24"/>
  <c r="N8" i="21"/>
  <c r="N8" i="7"/>
  <c r="B42" i="19"/>
  <c r="A21" i="18"/>
  <c r="CL32" i="42"/>
  <c r="CK32" i="42"/>
  <c r="CJ32" i="42"/>
  <c r="I32" i="42"/>
  <c r="W52" i="14" s="1"/>
  <c r="W55" i="14" s="1"/>
  <c r="H32" i="42"/>
  <c r="C52" i="14" s="1"/>
  <c r="H25" i="2"/>
  <c r="C30" i="16"/>
  <c r="C25" i="16"/>
  <c r="D25" i="16"/>
  <c r="E25" i="16"/>
  <c r="F25" i="16"/>
  <c r="G25" i="16"/>
  <c r="H25" i="16"/>
  <c r="I25" i="16"/>
  <c r="J25" i="16"/>
  <c r="K25" i="16"/>
  <c r="L25" i="16"/>
  <c r="M25" i="16"/>
  <c r="N25" i="16"/>
  <c r="E45" i="1"/>
  <c r="F42" i="1" s="1"/>
  <c r="F36" i="1"/>
  <c r="E38" i="1"/>
  <c r="F39" i="1" s="1"/>
  <c r="D19" i="42"/>
  <c r="E19" i="42" s="1"/>
  <c r="D18" i="42"/>
  <c r="D22" i="42" s="1"/>
  <c r="AG22" i="42" s="1"/>
  <c r="D17" i="42"/>
  <c r="E17" i="42" s="1"/>
  <c r="D16" i="42"/>
  <c r="E16" i="42" s="1"/>
  <c r="D20" i="42"/>
  <c r="AG20" i="42" s="1"/>
  <c r="AH20" i="42" s="1"/>
  <c r="D13" i="42"/>
  <c r="D12" i="42"/>
  <c r="G12" i="42" s="1"/>
  <c r="D11" i="42"/>
  <c r="G11" i="42" s="1"/>
  <c r="K26" i="1"/>
  <c r="L26" i="1" s="1"/>
  <c r="K27" i="1"/>
  <c r="L27" i="1" s="1"/>
  <c r="K28" i="1"/>
  <c r="L28" i="1" s="1"/>
  <c r="K29" i="1"/>
  <c r="L29" i="1" s="1"/>
  <c r="K30" i="1"/>
  <c r="L30" i="1" s="1"/>
  <c r="K31" i="1"/>
  <c r="L31" i="1" s="1"/>
  <c r="K24" i="1"/>
  <c r="L24" i="1" s="1"/>
  <c r="AF19" i="42"/>
  <c r="AF20" i="42"/>
  <c r="BI20" i="42" s="1"/>
  <c r="AF21" i="42"/>
  <c r="AF22" i="42"/>
  <c r="AX22" i="42" s="1"/>
  <c r="AY22" i="42" s="1"/>
  <c r="B8" i="18"/>
  <c r="R2" i="1"/>
  <c r="R3" i="1"/>
  <c r="R4" i="1"/>
  <c r="R5" i="1"/>
  <c r="R6" i="1"/>
  <c r="R7" i="1"/>
  <c r="R8" i="1"/>
  <c r="C13" i="20" s="1"/>
  <c r="R15" i="6"/>
  <c r="J11" i="1"/>
  <c r="A1" i="14"/>
  <c r="D18" i="14"/>
  <c r="D26" i="16" s="1"/>
  <c r="D19" i="14"/>
  <c r="E19" i="14" s="1"/>
  <c r="E27" i="16" s="1"/>
  <c r="D20" i="14"/>
  <c r="D28" i="16" s="1"/>
  <c r="D23" i="14"/>
  <c r="E23" i="14" s="1"/>
  <c r="D24" i="14"/>
  <c r="D32" i="16" s="1"/>
  <c r="D25" i="14"/>
  <c r="D33" i="16" s="1"/>
  <c r="D26" i="14"/>
  <c r="E26" i="14" s="1"/>
  <c r="D35" i="16"/>
  <c r="D28" i="14"/>
  <c r="D36" i="16" s="1"/>
  <c r="A6" i="16"/>
  <c r="C14" i="16"/>
  <c r="D14" i="16"/>
  <c r="E14" i="16"/>
  <c r="F14" i="16"/>
  <c r="G14" i="16"/>
  <c r="H14" i="16"/>
  <c r="I14" i="16"/>
  <c r="J14" i="16"/>
  <c r="K14" i="16"/>
  <c r="L14" i="16"/>
  <c r="M14" i="16"/>
  <c r="N14" i="16"/>
  <c r="C15" i="16"/>
  <c r="D15" i="16"/>
  <c r="E15" i="16"/>
  <c r="F15" i="16"/>
  <c r="G15" i="16"/>
  <c r="H15" i="16"/>
  <c r="I15" i="16"/>
  <c r="J15" i="16"/>
  <c r="K15" i="16"/>
  <c r="L15" i="16"/>
  <c r="M15" i="16"/>
  <c r="N15" i="16"/>
  <c r="O16" i="16"/>
  <c r="C20" i="16"/>
  <c r="D20" i="16"/>
  <c r="F20" i="16"/>
  <c r="G20" i="16"/>
  <c r="H20" i="16"/>
  <c r="I20" i="16"/>
  <c r="J20" i="16"/>
  <c r="K20" i="16"/>
  <c r="L20" i="16"/>
  <c r="M20" i="16"/>
  <c r="N20" i="16"/>
  <c r="C23" i="16"/>
  <c r="D23" i="16"/>
  <c r="E23" i="16"/>
  <c r="F23" i="16"/>
  <c r="G23" i="16"/>
  <c r="H23" i="16"/>
  <c r="I23" i="16"/>
  <c r="J23" i="16"/>
  <c r="K23" i="16"/>
  <c r="L23" i="16"/>
  <c r="M23" i="16"/>
  <c r="N23" i="16"/>
  <c r="A24" i="16"/>
  <c r="A25" i="16"/>
  <c r="A26" i="16"/>
  <c r="C26" i="16"/>
  <c r="A27" i="16"/>
  <c r="C27" i="16"/>
  <c r="A28" i="16"/>
  <c r="C28" i="16"/>
  <c r="A29" i="16"/>
  <c r="A30" i="16"/>
  <c r="A31" i="16"/>
  <c r="C31" i="16"/>
  <c r="A32" i="16"/>
  <c r="C32" i="16"/>
  <c r="A33" i="16"/>
  <c r="C33" i="16"/>
  <c r="A34" i="16"/>
  <c r="C34" i="16"/>
  <c r="A35" i="16"/>
  <c r="C35" i="16"/>
  <c r="A36" i="16"/>
  <c r="C36" i="16"/>
  <c r="O43" i="16"/>
  <c r="Q43" i="16" s="1"/>
  <c r="C42" i="16"/>
  <c r="D42" i="16"/>
  <c r="E42" i="16"/>
  <c r="F42" i="16"/>
  <c r="G42" i="16"/>
  <c r="H42" i="16"/>
  <c r="I42" i="16"/>
  <c r="J42" i="16"/>
  <c r="K42" i="16"/>
  <c r="L42" i="16"/>
  <c r="M42" i="16"/>
  <c r="N42" i="16"/>
  <c r="O45" i="16"/>
  <c r="O63" i="16"/>
  <c r="A1" i="18"/>
  <c r="A8" i="18"/>
  <c r="A9" i="18"/>
  <c r="A10" i="18"/>
  <c r="L10" i="18"/>
  <c r="O10" i="18"/>
  <c r="R10" i="18"/>
  <c r="A11" i="18"/>
  <c r="L11" i="18"/>
  <c r="O11" i="18"/>
  <c r="R11" i="18"/>
  <c r="A12" i="18"/>
  <c r="L12" i="18"/>
  <c r="O12" i="18"/>
  <c r="R12" i="18"/>
  <c r="A13" i="18"/>
  <c r="L13" i="18"/>
  <c r="O13" i="18"/>
  <c r="R13" i="18"/>
  <c r="A14" i="18"/>
  <c r="L14" i="18"/>
  <c r="O14" i="18"/>
  <c r="R14" i="18"/>
  <c r="A15" i="18"/>
  <c r="L15" i="18"/>
  <c r="O15" i="18"/>
  <c r="R15" i="18"/>
  <c r="A16" i="18"/>
  <c r="L16" i="18"/>
  <c r="O16" i="18"/>
  <c r="R16" i="18"/>
  <c r="A17" i="18"/>
  <c r="A18" i="18"/>
  <c r="A20" i="18"/>
  <c r="A22" i="18"/>
  <c r="A23" i="18"/>
  <c r="A24" i="18"/>
  <c r="A25" i="18"/>
  <c r="A26" i="18"/>
  <c r="A27" i="18"/>
  <c r="A28" i="18"/>
  <c r="A29" i="18"/>
  <c r="A30" i="18"/>
  <c r="A31" i="18"/>
  <c r="A35" i="18"/>
  <c r="A36" i="18"/>
  <c r="A37" i="18"/>
  <c r="A38" i="18"/>
  <c r="A40" i="18"/>
  <c r="B40" i="18"/>
  <c r="F40" i="18" s="1"/>
  <c r="A41" i="18"/>
  <c r="A44" i="18"/>
  <c r="D67" i="18"/>
  <c r="G67" i="18"/>
  <c r="J67" i="18"/>
  <c r="M67" i="18"/>
  <c r="P67" i="18"/>
  <c r="A1" i="19"/>
  <c r="F14" i="19"/>
  <c r="H14" i="19"/>
  <c r="J14" i="19"/>
  <c r="L14" i="19"/>
  <c r="B30" i="19"/>
  <c r="B36" i="19"/>
  <c r="B37" i="19"/>
  <c r="A1" i="20"/>
  <c r="B13" i="20"/>
  <c r="B18" i="20"/>
  <c r="B24" i="20"/>
  <c r="A1" i="2"/>
  <c r="E8" i="2"/>
  <c r="F8" i="2"/>
  <c r="E19" i="2"/>
  <c r="F19" i="2"/>
  <c r="E25" i="2"/>
  <c r="F25" i="2"/>
  <c r="I25" i="2"/>
  <c r="K26" i="2"/>
  <c r="K25" i="2" s="1"/>
  <c r="E28" i="2"/>
  <c r="F30" i="2"/>
  <c r="E33" i="2"/>
  <c r="E32" i="2" s="1"/>
  <c r="K35" i="2"/>
  <c r="B36" i="2"/>
  <c r="A1" i="40"/>
  <c r="A36" i="40"/>
  <c r="A1" i="4"/>
  <c r="A13" i="4"/>
  <c r="Y13" i="4" s="1"/>
  <c r="A14" i="4"/>
  <c r="Y14" i="4" s="1"/>
  <c r="A15" i="4"/>
  <c r="Y15" i="4" s="1"/>
  <c r="A16" i="4"/>
  <c r="Y16" i="4" s="1"/>
  <c r="A17" i="4"/>
  <c r="Y17" i="4" s="1"/>
  <c r="A18" i="4"/>
  <c r="Y18" i="4" s="1"/>
  <c r="A19" i="4"/>
  <c r="Y19" i="4" s="1"/>
  <c r="A20" i="4"/>
  <c r="Y20" i="4" s="1"/>
  <c r="A21" i="4"/>
  <c r="Y21" i="4" s="1"/>
  <c r="AA22" i="4"/>
  <c r="AL22" i="4"/>
  <c r="AV22" i="4"/>
  <c r="AY22" i="4"/>
  <c r="BB22" i="4"/>
  <c r="A24" i="4"/>
  <c r="Y23" i="4" s="1"/>
  <c r="A25" i="4"/>
  <c r="Y24" i="4" s="1"/>
  <c r="A27" i="4"/>
  <c r="Y26" i="4" s="1"/>
  <c r="A1" i="5"/>
  <c r="A9" i="5"/>
  <c r="A10" i="5"/>
  <c r="A11" i="5"/>
  <c r="A12" i="5"/>
  <c r="A13" i="5"/>
  <c r="A14" i="5"/>
  <c r="A15" i="5"/>
  <c r="A16" i="5"/>
  <c r="A17" i="5"/>
  <c r="A20" i="5"/>
  <c r="A21" i="5"/>
  <c r="A23" i="5"/>
  <c r="A1" i="7"/>
  <c r="N3" i="7"/>
  <c r="N4" i="7"/>
  <c r="N5" i="7"/>
  <c r="B6" i="7"/>
  <c r="N6" i="7"/>
  <c r="N7" i="7"/>
  <c r="M11" i="7"/>
  <c r="M23" i="7"/>
  <c r="M35" i="7"/>
  <c r="M47" i="7"/>
  <c r="M59" i="7"/>
  <c r="A1" i="21"/>
  <c r="N3" i="21"/>
  <c r="N4" i="21"/>
  <c r="N5" i="21"/>
  <c r="B6" i="21"/>
  <c r="N6" i="21"/>
  <c r="B7" i="21"/>
  <c r="N7" i="21"/>
  <c r="B8" i="21"/>
  <c r="M11" i="21"/>
  <c r="M23" i="21"/>
  <c r="M35" i="21"/>
  <c r="M47" i="21"/>
  <c r="M59" i="21"/>
  <c r="A1" i="24"/>
  <c r="N3" i="24"/>
  <c r="N4" i="24"/>
  <c r="N5" i="24"/>
  <c r="B6" i="24"/>
  <c r="N6" i="24"/>
  <c r="B7" i="24"/>
  <c r="N7" i="24"/>
  <c r="B8" i="24"/>
  <c r="M11" i="24"/>
  <c r="M23" i="24"/>
  <c r="M35" i="24"/>
  <c r="M47" i="24"/>
  <c r="M59" i="24"/>
  <c r="A1" i="22"/>
  <c r="N3" i="22"/>
  <c r="N4" i="22"/>
  <c r="N5" i="22"/>
  <c r="B6" i="22"/>
  <c r="N6" i="22"/>
  <c r="B7" i="22"/>
  <c r="N7" i="22"/>
  <c r="B8" i="22"/>
  <c r="M11" i="22"/>
  <c r="M23" i="22"/>
  <c r="M35" i="22"/>
  <c r="M47" i="22"/>
  <c r="M59" i="22"/>
  <c r="A1" i="23"/>
  <c r="N3" i="23"/>
  <c r="N4" i="23"/>
  <c r="N5" i="23"/>
  <c r="B6" i="23"/>
  <c r="N6" i="23"/>
  <c r="B7" i="23"/>
  <c r="N7" i="23"/>
  <c r="B8" i="23"/>
  <c r="M11" i="23"/>
  <c r="M23" i="23"/>
  <c r="M35" i="23"/>
  <c r="M47" i="23"/>
  <c r="M59" i="23"/>
  <c r="A1" i="8"/>
  <c r="N3" i="8"/>
  <c r="N4" i="8"/>
  <c r="N5" i="8"/>
  <c r="B6" i="8"/>
  <c r="N6" i="8"/>
  <c r="B7" i="8"/>
  <c r="N7" i="8"/>
  <c r="B8" i="8"/>
  <c r="M11" i="8"/>
  <c r="M23" i="8"/>
  <c r="M35" i="8"/>
  <c r="M47" i="8"/>
  <c r="M59" i="8"/>
  <c r="A1" i="6"/>
  <c r="R17" i="6"/>
  <c r="B5" i="7" s="1"/>
  <c r="N3" i="32"/>
  <c r="N7" i="32" s="1"/>
  <c r="M12" i="32"/>
  <c r="M48" i="32" s="1"/>
  <c r="N3" i="48"/>
  <c r="N6" i="48" s="1"/>
  <c r="M12" i="48"/>
  <c r="M36" i="48" s="1"/>
  <c r="N3" i="33"/>
  <c r="N4" i="33" s="1"/>
  <c r="N8" i="33" s="1"/>
  <c r="B6" i="33"/>
  <c r="B7" i="33"/>
  <c r="B8" i="33"/>
  <c r="I9" i="33"/>
  <c r="M12" i="33"/>
  <c r="M36" i="33" s="1"/>
  <c r="N3" i="34"/>
  <c r="N6" i="34" s="1"/>
  <c r="B6" i="34"/>
  <c r="B7" i="34"/>
  <c r="B8" i="34"/>
  <c r="I9" i="34"/>
  <c r="M12" i="34"/>
  <c r="M24" i="34" s="1"/>
  <c r="N3" i="35"/>
  <c r="N6" i="35" s="1"/>
  <c r="B6" i="35"/>
  <c r="B7" i="35"/>
  <c r="B8" i="35"/>
  <c r="I9" i="35"/>
  <c r="M12" i="35"/>
  <c r="M60" i="35" s="1"/>
  <c r="N3" i="36"/>
  <c r="N5" i="36" s="1"/>
  <c r="B6" i="36"/>
  <c r="B7" i="36"/>
  <c r="B8" i="36"/>
  <c r="I9" i="36"/>
  <c r="M12" i="36"/>
  <c r="M36" i="36" s="1"/>
  <c r="N3" i="37"/>
  <c r="N4" i="37" s="1"/>
  <c r="N8" i="37" s="1"/>
  <c r="B6" i="37"/>
  <c r="B7" i="37"/>
  <c r="B8" i="37"/>
  <c r="I9" i="37"/>
  <c r="M12" i="37"/>
  <c r="M60" i="37" s="1"/>
  <c r="A1" i="9"/>
  <c r="A2" i="12"/>
  <c r="A9" i="12"/>
  <c r="A8" i="61" s="1"/>
  <c r="A11" i="12"/>
  <c r="C117" i="12" s="1"/>
  <c r="A13" i="12"/>
  <c r="C118" i="12" s="1"/>
  <c r="A15" i="12"/>
  <c r="C119" i="12" s="1"/>
  <c r="A17" i="12"/>
  <c r="A19" i="12"/>
  <c r="A13" i="61" s="1"/>
  <c r="A21" i="12"/>
  <c r="A14" i="61" s="1"/>
  <c r="A23" i="12"/>
  <c r="A85" i="12"/>
  <c r="P90" i="12"/>
  <c r="A1" i="42"/>
  <c r="AJ10" i="42"/>
  <c r="BJ10" i="42" s="1"/>
  <c r="AJ11" i="42"/>
  <c r="BK11" i="42"/>
  <c r="BS11" i="42"/>
  <c r="CA11" i="42"/>
  <c r="K12" i="42"/>
  <c r="AJ12" i="42"/>
  <c r="BK12" i="42"/>
  <c r="BS12" i="42"/>
  <c r="CA12" i="42"/>
  <c r="K13" i="42"/>
  <c r="AJ13" i="42"/>
  <c r="BJ13" i="42" s="1"/>
  <c r="BR13" i="42" s="1"/>
  <c r="BZ13" i="42" s="1"/>
  <c r="BK13" i="42"/>
  <c r="BS13" i="42"/>
  <c r="CA13" i="42"/>
  <c r="I14" i="42"/>
  <c r="J14" i="42"/>
  <c r="E15" i="42"/>
  <c r="R15" i="42" s="1"/>
  <c r="G15" i="42"/>
  <c r="I15" i="42"/>
  <c r="O15" i="42" s="1"/>
  <c r="AF15" i="42"/>
  <c r="AH15" i="42" s="1"/>
  <c r="AJ15" i="42"/>
  <c r="BJ15" i="42" s="1"/>
  <c r="BR15" i="42" s="1"/>
  <c r="F16" i="42"/>
  <c r="I16" i="42"/>
  <c r="S16" i="42" s="1"/>
  <c r="AJ16" i="42"/>
  <c r="BJ16" i="42" s="1"/>
  <c r="BR16" i="42" s="1"/>
  <c r="BZ16" i="42" s="1"/>
  <c r="BK16" i="42"/>
  <c r="BS16" i="42"/>
  <c r="CA16" i="42"/>
  <c r="I17" i="42"/>
  <c r="AA17" i="42" s="1"/>
  <c r="AJ17" i="42"/>
  <c r="BJ17" i="42" s="1"/>
  <c r="BR17" i="42" s="1"/>
  <c r="BZ17" i="42" s="1"/>
  <c r="BK17" i="42"/>
  <c r="BS17" i="42"/>
  <c r="CA17" i="42"/>
  <c r="I18" i="42"/>
  <c r="W18" i="42" s="1"/>
  <c r="AJ18" i="42"/>
  <c r="BJ18" i="42" s="1"/>
  <c r="BR18" i="42" s="1"/>
  <c r="BZ18" i="42" s="1"/>
  <c r="BK18" i="42"/>
  <c r="BS18" i="42"/>
  <c r="CA18" i="42"/>
  <c r="I19" i="42"/>
  <c r="AA19" i="42" s="1"/>
  <c r="AJ19" i="42"/>
  <c r="BJ19" i="42" s="1"/>
  <c r="BR19" i="42" s="1"/>
  <c r="BZ19" i="42" s="1"/>
  <c r="BK19" i="42"/>
  <c r="BS19" i="42"/>
  <c r="CA19" i="42"/>
  <c r="I20" i="42"/>
  <c r="K20" i="42" s="1"/>
  <c r="AJ20" i="42"/>
  <c r="BJ20" i="42" s="1"/>
  <c r="BR20" i="42" s="1"/>
  <c r="BZ20" i="42" s="1"/>
  <c r="AK20" i="42"/>
  <c r="BK20" i="42"/>
  <c r="BS20" i="42"/>
  <c r="CA20" i="42"/>
  <c r="I21" i="42"/>
  <c r="AA21" i="42" s="1"/>
  <c r="AJ21" i="42"/>
  <c r="BJ21" i="42" s="1"/>
  <c r="BR21" i="42" s="1"/>
  <c r="BZ21" i="42" s="1"/>
  <c r="AK21" i="42"/>
  <c r="BK21" i="42"/>
  <c r="BS21" i="42"/>
  <c r="CA21" i="42"/>
  <c r="I22" i="42"/>
  <c r="K22" i="42" s="1"/>
  <c r="AJ22" i="42"/>
  <c r="BJ22" i="42" s="1"/>
  <c r="BR22" i="42" s="1"/>
  <c r="BZ22" i="42" s="1"/>
  <c r="AK22" i="42"/>
  <c r="BK22" i="42"/>
  <c r="BS22" i="42"/>
  <c r="CA22" i="42"/>
  <c r="J23" i="42"/>
  <c r="BJ24" i="42"/>
  <c r="BR24" i="42"/>
  <c r="BZ24" i="42"/>
  <c r="B2" i="44"/>
  <c r="O17" i="14"/>
  <c r="D21" i="18" s="1"/>
  <c r="F38" i="1"/>
  <c r="I13" i="56"/>
  <c r="K13" i="56"/>
  <c r="J13" i="56"/>
  <c r="I14" i="56"/>
  <c r="K14" i="56"/>
  <c r="J14" i="56"/>
  <c r="I16" i="56"/>
  <c r="K16" i="56"/>
  <c r="J16" i="56"/>
  <c r="I17" i="56"/>
  <c r="K17" i="56"/>
  <c r="J17" i="56"/>
  <c r="I19" i="56"/>
  <c r="K19" i="56"/>
  <c r="J19" i="56"/>
  <c r="I20" i="56"/>
  <c r="K20" i="56"/>
  <c r="J20" i="56"/>
  <c r="I22" i="56"/>
  <c r="K22" i="56"/>
  <c r="J22" i="56"/>
  <c r="I23" i="56"/>
  <c r="K23" i="56"/>
  <c r="J23" i="56"/>
  <c r="I25" i="56"/>
  <c r="K25" i="56"/>
  <c r="J25" i="56"/>
  <c r="I26" i="56"/>
  <c r="K26" i="56"/>
  <c r="J26" i="56"/>
  <c r="I28" i="56"/>
  <c r="K28" i="56"/>
  <c r="J28" i="56"/>
  <c r="I29" i="56"/>
  <c r="K29" i="56"/>
  <c r="J29" i="56"/>
  <c r="I31" i="56"/>
  <c r="K31" i="56"/>
  <c r="J31" i="56"/>
  <c r="I32" i="56"/>
  <c r="K32" i="56"/>
  <c r="J32" i="56"/>
  <c r="I34" i="56"/>
  <c r="K34" i="56"/>
  <c r="J34" i="56"/>
  <c r="I35" i="56"/>
  <c r="K35" i="56"/>
  <c r="J35" i="56"/>
  <c r="I37" i="56"/>
  <c r="K37" i="56"/>
  <c r="J37" i="56"/>
  <c r="I38" i="56"/>
  <c r="K38" i="56"/>
  <c r="J38" i="56"/>
  <c r="I40" i="56"/>
  <c r="K40" i="56"/>
  <c r="J40" i="56"/>
  <c r="I41" i="56"/>
  <c r="K41" i="56"/>
  <c r="J41" i="56"/>
  <c r="I43" i="56"/>
  <c r="K43" i="56"/>
  <c r="J43" i="56"/>
  <c r="I44" i="56"/>
  <c r="K44" i="56"/>
  <c r="J44" i="56"/>
  <c r="I46" i="56"/>
  <c r="K46" i="56"/>
  <c r="J46" i="56"/>
  <c r="I47" i="56"/>
  <c r="K47" i="56"/>
  <c r="J47" i="56"/>
  <c r="I49" i="56"/>
  <c r="K49" i="56"/>
  <c r="J49" i="56"/>
  <c r="I50" i="56"/>
  <c r="K50" i="56"/>
  <c r="J50" i="56"/>
  <c r="I52" i="56"/>
  <c r="K52" i="56"/>
  <c r="J52" i="56"/>
  <c r="I53" i="56"/>
  <c r="K53" i="56"/>
  <c r="J53" i="56"/>
  <c r="I55" i="56"/>
  <c r="K55" i="56"/>
  <c r="J55" i="56"/>
  <c r="I56" i="56"/>
  <c r="K56" i="56"/>
  <c r="J56" i="56"/>
  <c r="I58" i="56"/>
  <c r="K58" i="56"/>
  <c r="J58" i="56"/>
  <c r="I59" i="56"/>
  <c r="K59" i="56"/>
  <c r="J59" i="56"/>
  <c r="I61" i="56"/>
  <c r="K61" i="56"/>
  <c r="J61" i="56"/>
  <c r="I62" i="56"/>
  <c r="K62" i="56"/>
  <c r="J62" i="56"/>
  <c r="I64" i="56"/>
  <c r="K64" i="56"/>
  <c r="J64" i="56"/>
  <c r="I65" i="56"/>
  <c r="K65" i="56"/>
  <c r="J65" i="56"/>
  <c r="I67" i="56"/>
  <c r="K67" i="56"/>
  <c r="J67" i="56"/>
  <c r="I68" i="56"/>
  <c r="K68" i="56"/>
  <c r="J68" i="56"/>
  <c r="I70" i="56"/>
  <c r="K70" i="56"/>
  <c r="J70" i="56"/>
  <c r="I71" i="56"/>
  <c r="K71" i="56"/>
  <c r="J71" i="56"/>
  <c r="I72" i="56"/>
  <c r="K72" i="56"/>
  <c r="J72" i="56"/>
  <c r="I73" i="56"/>
  <c r="K73" i="56"/>
  <c r="J73" i="56"/>
  <c r="I74" i="56"/>
  <c r="K74" i="56"/>
  <c r="J74" i="56"/>
  <c r="I75" i="56"/>
  <c r="K75" i="56"/>
  <c r="J75" i="56"/>
  <c r="I76" i="56"/>
  <c r="K76" i="56"/>
  <c r="J76" i="56"/>
  <c r="I77" i="56"/>
  <c r="K77" i="56"/>
  <c r="J77" i="56"/>
  <c r="I78" i="56"/>
  <c r="K78" i="56"/>
  <c r="J78" i="56"/>
  <c r="I79" i="56"/>
  <c r="I79" i="55"/>
  <c r="K79" i="56"/>
  <c r="J79" i="56"/>
  <c r="I80" i="56"/>
  <c r="K80" i="56"/>
  <c r="J80" i="56"/>
  <c r="I81" i="56"/>
  <c r="K81" i="56"/>
  <c r="J81" i="56"/>
  <c r="I82" i="56"/>
  <c r="K82" i="56"/>
  <c r="J82" i="56"/>
  <c r="I83" i="56"/>
  <c r="K83" i="56"/>
  <c r="J83" i="56"/>
  <c r="BJ12" i="42"/>
  <c r="BR12" i="42" s="1"/>
  <c r="BZ12" i="42" s="1"/>
  <c r="K40" i="42"/>
  <c r="E40" i="42"/>
  <c r="E41" i="42"/>
  <c r="E42" i="42" s="1"/>
  <c r="C42" i="42"/>
  <c r="K41" i="42"/>
  <c r="I42" i="42"/>
  <c r="E20" i="16"/>
  <c r="U3" i="24"/>
  <c r="U3" i="23"/>
  <c r="U4" i="23"/>
  <c r="U5" i="23"/>
  <c r="X16" i="32"/>
  <c r="U8" i="35"/>
  <c r="U8" i="34"/>
  <c r="W16" i="32"/>
  <c r="Y16" i="32"/>
  <c r="A3" i="36"/>
  <c r="A3" i="37"/>
  <c r="L77" i="14"/>
  <c r="C55" i="14"/>
  <c r="F27" i="18"/>
  <c r="D38" i="16"/>
  <c r="E38" i="16"/>
  <c r="U38" i="16"/>
  <c r="W38" i="16"/>
  <c r="B35" i="19"/>
  <c r="P26" i="2"/>
  <c r="P27" i="2" s="1"/>
  <c r="Q26" i="2"/>
  <c r="Q27" i="2" s="1"/>
  <c r="R26" i="2"/>
  <c r="R27" i="2" s="1"/>
  <c r="S26" i="2"/>
  <c r="S27" i="2" s="1"/>
  <c r="T26" i="2"/>
  <c r="T27" i="2" s="1"/>
  <c r="AM10" i="42"/>
  <c r="BM10" i="42" s="1"/>
  <c r="BU10" i="42" s="1"/>
  <c r="CC10" i="42" s="1"/>
  <c r="D138" i="12"/>
  <c r="D139" i="12"/>
  <c r="D140" i="12"/>
  <c r="AF13" i="42"/>
  <c r="I15" i="52"/>
  <c r="R15" i="9"/>
  <c r="J15" i="9"/>
  <c r="AM18" i="42"/>
  <c r="BM18" i="42" s="1"/>
  <c r="BU18" i="42" s="1"/>
  <c r="CC18" i="42" s="1"/>
  <c r="AM12" i="42"/>
  <c r="F11" i="18"/>
  <c r="F21" i="18"/>
  <c r="C26" i="20"/>
  <c r="F16" i="18"/>
  <c r="H19" i="9"/>
  <c r="F30" i="18"/>
  <c r="F23" i="18"/>
  <c r="F14" i="18"/>
  <c r="D108" i="4"/>
  <c r="C6" i="20"/>
  <c r="C19" i="20"/>
  <c r="C8" i="20"/>
  <c r="U16" i="42"/>
  <c r="V16" i="42" s="1"/>
  <c r="C23" i="42"/>
  <c r="AL16" i="42"/>
  <c r="AV16" i="42" s="1"/>
  <c r="AF11" i="42"/>
  <c r="BB11" i="42" s="1"/>
  <c r="K11" i="42"/>
  <c r="C14" i="42"/>
  <c r="G10" i="42"/>
  <c r="K10" i="42"/>
  <c r="E10" i="42"/>
  <c r="K25" i="1"/>
  <c r="L25" i="1" s="1"/>
  <c r="O62" i="16"/>
  <c r="V59" i="16" s="1"/>
  <c r="V60" i="16" s="1"/>
  <c r="Z65" i="16" s="1"/>
  <c r="C64" i="16"/>
  <c r="D64" i="16" s="1"/>
  <c r="E64" i="16" s="1"/>
  <c r="F64" i="16" s="1"/>
  <c r="G64" i="16" s="1"/>
  <c r="H64" i="16" s="1"/>
  <c r="I64" i="16" s="1"/>
  <c r="J64" i="16" s="1"/>
  <c r="K64" i="16" s="1"/>
  <c r="L64" i="16" s="1"/>
  <c r="M64" i="16" s="1"/>
  <c r="N64" i="16" s="1"/>
  <c r="T64" i="16" s="1"/>
  <c r="U64" i="16" s="1"/>
  <c r="V64" i="16" s="1"/>
  <c r="W64" i="16" s="1"/>
  <c r="X64" i="16" s="1"/>
  <c r="Y64" i="16" s="1"/>
  <c r="Z64" i="16" s="1"/>
  <c r="AA64" i="16" s="1"/>
  <c r="AB64" i="16" s="1"/>
  <c r="AC64" i="16" s="1"/>
  <c r="AD64" i="16" s="1"/>
  <c r="AE64" i="16" s="1"/>
  <c r="E25" i="14"/>
  <c r="F25" i="14" s="1"/>
  <c r="G25" i="14" s="1"/>
  <c r="AG11" i="42"/>
  <c r="AG12" i="42"/>
  <c r="AH12" i="42" s="1"/>
  <c r="AG16" i="42"/>
  <c r="O16" i="42"/>
  <c r="BJ11" i="42"/>
  <c r="BR11" i="42" s="1"/>
  <c r="BZ11" i="42" s="1"/>
  <c r="BI13" i="42"/>
  <c r="BQ13" i="42" s="1"/>
  <c r="BY13" i="42" s="1"/>
  <c r="E17" i="12"/>
  <c r="E19" i="12"/>
  <c r="E21" i="12"/>
  <c r="E23" i="12"/>
  <c r="AL17" i="42"/>
  <c r="AR17" i="42" s="1"/>
  <c r="K16" i="42"/>
  <c r="AA16" i="42"/>
  <c r="W16" i="42"/>
  <c r="E30" i="16"/>
  <c r="I6" i="32"/>
  <c r="Q40" i="32" s="1"/>
  <c r="B5" i="32"/>
  <c r="B12" i="32" s="1"/>
  <c r="D12" i="32" s="1"/>
  <c r="E12" i="32" s="1"/>
  <c r="O69" i="32"/>
  <c r="P16" i="32"/>
  <c r="P28" i="32"/>
  <c r="O36" i="32"/>
  <c r="P72" i="32"/>
  <c r="O78" i="32"/>
  <c r="Q29" i="32"/>
  <c r="P57" i="32"/>
  <c r="O73" i="32"/>
  <c r="P83" i="32"/>
  <c r="O53" i="32"/>
  <c r="P59" i="32"/>
  <c r="P64" i="32"/>
  <c r="Q80" i="32"/>
  <c r="O22" i="32"/>
  <c r="P81" i="32"/>
  <c r="P49" i="32"/>
  <c r="Q51" i="32"/>
  <c r="P52" i="32"/>
  <c r="P30" i="32"/>
  <c r="O38" i="32"/>
  <c r="O59" i="32"/>
  <c r="R8" i="32"/>
  <c r="Q17" i="32"/>
  <c r="P45" i="32"/>
  <c r="Q64" i="32"/>
  <c r="Q13" i="32"/>
  <c r="P19" i="32"/>
  <c r="R5" i="32"/>
  <c r="P60" i="32"/>
  <c r="O72" i="32"/>
  <c r="Q39" i="32"/>
  <c r="O33" i="32"/>
  <c r="P13" i="32"/>
  <c r="P35" i="32"/>
  <c r="O18" i="32"/>
  <c r="O57" i="32"/>
  <c r="O46" i="32"/>
  <c r="Q45" i="32"/>
  <c r="Q32" i="32"/>
  <c r="O60" i="32"/>
  <c r="O19" i="32"/>
  <c r="P32" i="32"/>
  <c r="O81" i="32"/>
  <c r="Q35" i="32"/>
  <c r="Q49" i="32"/>
  <c r="Q70" i="32"/>
  <c r="O29" i="32"/>
  <c r="O12" i="32"/>
  <c r="O35" i="32"/>
  <c r="Q20" i="32"/>
  <c r="Q48" i="32"/>
  <c r="O21" i="32"/>
  <c r="P34" i="32"/>
  <c r="O49" i="32"/>
  <c r="O23" i="32"/>
  <c r="O51" i="32"/>
  <c r="P74" i="32"/>
  <c r="O25" i="32"/>
  <c r="O15" i="32"/>
  <c r="P67" i="32"/>
  <c r="P53" i="32"/>
  <c r="Q75" i="32"/>
  <c r="Q54" i="32"/>
  <c r="P78" i="32"/>
  <c r="O44" i="32"/>
  <c r="Q30" i="32"/>
  <c r="P55" i="32"/>
  <c r="O56" i="32"/>
  <c r="O77" i="32"/>
  <c r="Q58" i="32"/>
  <c r="O39" i="32"/>
  <c r="P42" i="32"/>
  <c r="O79" i="32"/>
  <c r="P39" i="32"/>
  <c r="Q65" i="32"/>
  <c r="O13" i="32"/>
  <c r="P14" i="32"/>
  <c r="Q42" i="32"/>
  <c r="P46" i="32"/>
  <c r="P31" i="32"/>
  <c r="O58" i="32"/>
  <c r="O14" i="32"/>
  <c r="P66" i="32"/>
  <c r="O16" i="32"/>
  <c r="P26" i="32"/>
  <c r="Q53" i="32"/>
  <c r="Q44" i="32"/>
  <c r="P51" i="32"/>
  <c r="J24" i="42"/>
  <c r="V15" i="42"/>
  <c r="AL20" i="42"/>
  <c r="BD20" i="42" s="1"/>
  <c r="BL20" i="42"/>
  <c r="BQ20" i="42"/>
  <c r="BY20" i="42" s="1"/>
  <c r="CB20" i="42" s="1"/>
  <c r="E65" i="16"/>
  <c r="L65" i="16"/>
  <c r="N65" i="16"/>
  <c r="F65" i="16"/>
  <c r="J65" i="16"/>
  <c r="H65" i="16"/>
  <c r="G65" i="16"/>
  <c r="M65" i="16"/>
  <c r="C65" i="16"/>
  <c r="I65" i="16"/>
  <c r="D65" i="16"/>
  <c r="K65" i="16"/>
  <c r="B11" i="7"/>
  <c r="F30" i="16"/>
  <c r="G30" i="16"/>
  <c r="H30" i="16"/>
  <c r="I30" i="16"/>
  <c r="J30" i="16"/>
  <c r="K30" i="16"/>
  <c r="L30" i="16"/>
  <c r="O22" i="14"/>
  <c r="D26" i="18" s="1"/>
  <c r="M30" i="16"/>
  <c r="N30" i="16"/>
  <c r="P23" i="32"/>
  <c r="Q15" i="32"/>
  <c r="Q43" i="32"/>
  <c r="O68" i="32"/>
  <c r="P15" i="32"/>
  <c r="P43" i="32"/>
  <c r="Q68" i="32"/>
  <c r="P17" i="32"/>
  <c r="Q46" i="32"/>
  <c r="O70" i="32"/>
  <c r="R6" i="32"/>
  <c r="O34" i="32"/>
  <c r="P20" i="32"/>
  <c r="P58" i="32"/>
  <c r="P41" i="32"/>
  <c r="R3" i="32"/>
  <c r="O52" i="32"/>
  <c r="O74" i="32"/>
  <c r="O24" i="32"/>
  <c r="Q52" i="32"/>
  <c r="Q74" i="32"/>
  <c r="O26" i="32"/>
  <c r="P54" i="32"/>
  <c r="Q77" i="32"/>
  <c r="Q55" i="32"/>
  <c r="Q66" i="32"/>
  <c r="Q28" i="32"/>
  <c r="O30" i="32"/>
  <c r="P18" i="32"/>
  <c r="P70" i="32"/>
  <c r="P47" i="32"/>
  <c r="Q21" i="32"/>
  <c r="Q73" i="32"/>
  <c r="O48" i="32"/>
  <c r="P37" i="32"/>
  <c r="Q34" i="32"/>
  <c r="O82" i="32"/>
  <c r="P61" i="32"/>
  <c r="O37" i="32"/>
  <c r="P24" i="32"/>
  <c r="Q47" i="32"/>
  <c r="Q23" i="32"/>
  <c r="P25" i="32"/>
  <c r="Q56" i="32"/>
  <c r="R4" i="32"/>
  <c r="P76" i="32"/>
  <c r="P29" i="32"/>
  <c r="Q76" i="32"/>
  <c r="P12" i="32"/>
  <c r="O40" i="32"/>
  <c r="Q67" i="32"/>
  <c r="O83" i="32"/>
  <c r="P68" i="32"/>
  <c r="Q41" i="32"/>
  <c r="P27" i="32"/>
  <c r="P73" i="32"/>
  <c r="Q22" i="32"/>
  <c r="Q57" i="32"/>
  <c r="Q83" i="32"/>
  <c r="P50" i="32"/>
  <c r="Q78" i="32"/>
  <c r="P38" i="32"/>
  <c r="O76" i="32"/>
  <c r="Q36" i="32"/>
  <c r="O43" i="32"/>
  <c r="P56" i="32"/>
  <c r="Q12" i="32"/>
  <c r="O45" i="32"/>
  <c r="Q79" i="32"/>
  <c r="Q38" i="32"/>
  <c r="P69" i="32"/>
  <c r="Q33" i="32"/>
  <c r="O66" i="32"/>
  <c r="O65" i="32"/>
  <c r="O54" i="32"/>
  <c r="P77" i="32"/>
  <c r="P33" i="32"/>
  <c r="P80" i="32"/>
  <c r="O71" i="32"/>
  <c r="O62" i="32"/>
  <c r="O50" i="32"/>
  <c r="P48" i="32"/>
  <c r="P71" i="32"/>
  <c r="R7" i="32"/>
  <c r="Q63" i="32"/>
  <c r="O55" i="32"/>
  <c r="Q25" i="32"/>
  <c r="P75" i="32"/>
  <c r="Q71" i="32"/>
  <c r="Q27" i="32"/>
  <c r="O80" i="32"/>
  <c r="P44" i="32"/>
  <c r="P65" i="32"/>
  <c r="O20" i="32"/>
  <c r="O42" i="32"/>
  <c r="O67" i="32"/>
  <c r="Q14" i="32"/>
  <c r="V38" i="16"/>
  <c r="O17" i="42"/>
  <c r="BM12" i="42"/>
  <c r="BU12" i="42" s="1"/>
  <c r="Y16" i="7"/>
  <c r="R12" i="32"/>
  <c r="R13" i="32" s="1"/>
  <c r="H28" i="2"/>
  <c r="C20" i="20"/>
  <c r="F15" i="18"/>
  <c r="F24" i="18"/>
  <c r="F10" i="18"/>
  <c r="H19" i="52"/>
  <c r="C21" i="20"/>
  <c r="F32" i="18"/>
  <c r="F31" i="18"/>
  <c r="C22" i="20"/>
  <c r="B18" i="2"/>
  <c r="B9" i="19" s="1"/>
  <c r="B41" i="2"/>
  <c r="D110" i="4"/>
  <c r="E110" i="4" s="1"/>
  <c r="C16" i="20"/>
  <c r="B24" i="2"/>
  <c r="B11" i="19" s="1"/>
  <c r="F43" i="18"/>
  <c r="F9" i="18"/>
  <c r="F25" i="18"/>
  <c r="F26" i="18"/>
  <c r="F39" i="18"/>
  <c r="C10" i="20"/>
  <c r="F22" i="18"/>
  <c r="F12" i="18"/>
  <c r="F36" i="18"/>
  <c r="B26" i="2"/>
  <c r="B25" i="2" s="1"/>
  <c r="C15" i="20"/>
  <c r="C25" i="20"/>
  <c r="F20" i="18"/>
  <c r="F29" i="18"/>
  <c r="F17" i="18"/>
  <c r="F19" i="18"/>
  <c r="F45" i="18"/>
  <c r="Q19" i="6"/>
  <c r="F28" i="18"/>
  <c r="H19" i="6"/>
  <c r="B27" i="2"/>
  <c r="F13" i="18"/>
  <c r="B35" i="2"/>
  <c r="D106" i="4"/>
  <c r="C28" i="20"/>
  <c r="C14" i="20"/>
  <c r="M24" i="35"/>
  <c r="M48" i="33"/>
  <c r="M60" i="33"/>
  <c r="N4" i="48"/>
  <c r="N8" i="48" s="1"/>
  <c r="M24" i="32"/>
  <c r="M36" i="32"/>
  <c r="M60" i="32"/>
  <c r="M24" i="37"/>
  <c r="M48" i="37"/>
  <c r="N4" i="34"/>
  <c r="N8" i="34" s="1"/>
  <c r="N6" i="36"/>
  <c r="N7" i="34"/>
  <c r="N4" i="36"/>
  <c r="N8" i="36" s="1"/>
  <c r="N5" i="34"/>
  <c r="N7" i="36"/>
  <c r="E138" i="12"/>
  <c r="P23" i="16"/>
  <c r="AG23" i="16" s="1"/>
  <c r="AX19" i="42" l="1"/>
  <c r="Z19" i="42"/>
  <c r="N19" i="42"/>
  <c r="B7" i="18"/>
  <c r="K76" i="55"/>
  <c r="I47" i="55"/>
  <c r="J43" i="55"/>
  <c r="J73" i="55"/>
  <c r="J81" i="55"/>
  <c r="I71" i="55"/>
  <c r="J67" i="55"/>
  <c r="I23" i="55"/>
  <c r="J19" i="55"/>
  <c r="K82" i="55"/>
  <c r="I77" i="55"/>
  <c r="K49" i="55"/>
  <c r="J47" i="55"/>
  <c r="K41" i="55"/>
  <c r="K25" i="55"/>
  <c r="J23" i="55"/>
  <c r="K17" i="55"/>
  <c r="I83" i="55"/>
  <c r="K80" i="55"/>
  <c r="J77" i="55"/>
  <c r="I75" i="55"/>
  <c r="K72" i="55"/>
  <c r="I59" i="55"/>
  <c r="J55" i="55"/>
  <c r="I35" i="55"/>
  <c r="J31" i="55"/>
  <c r="J79" i="55"/>
  <c r="K74" i="55"/>
  <c r="J71" i="55"/>
  <c r="K65" i="55"/>
  <c r="I55" i="55"/>
  <c r="I31" i="55"/>
  <c r="J83" i="55"/>
  <c r="I81" i="55"/>
  <c r="K78" i="55"/>
  <c r="J75" i="55"/>
  <c r="I73" i="55"/>
  <c r="I67" i="55"/>
  <c r="K61" i="55"/>
  <c r="J59" i="55"/>
  <c r="K53" i="55"/>
  <c r="I43" i="55"/>
  <c r="K37" i="55"/>
  <c r="J35" i="55"/>
  <c r="K29" i="55"/>
  <c r="I19" i="55"/>
  <c r="K13" i="55"/>
  <c r="E46" i="1"/>
  <c r="F46" i="1" s="1"/>
  <c r="M24" i="36"/>
  <c r="E14" i="12"/>
  <c r="O36" i="4"/>
  <c r="B31" i="40"/>
  <c r="C38" i="14"/>
  <c r="O38" i="14" s="1"/>
  <c r="D42" i="18" s="1"/>
  <c r="Q36" i="63" s="1"/>
  <c r="I12" i="32"/>
  <c r="P6" i="32"/>
  <c r="Z10" i="42"/>
  <c r="R17" i="42"/>
  <c r="Z17" i="42"/>
  <c r="V17" i="42"/>
  <c r="Z16" i="42"/>
  <c r="N16" i="42"/>
  <c r="R16" i="42"/>
  <c r="N15" i="42"/>
  <c r="B11" i="1"/>
  <c r="E11" i="1" s="1"/>
  <c r="C5" i="20"/>
  <c r="BC28" i="20" s="1"/>
  <c r="E6" i="2"/>
  <c r="N4" i="35"/>
  <c r="N8" i="35" s="1"/>
  <c r="N4" i="32"/>
  <c r="N8" i="32" s="1"/>
  <c r="F6" i="2"/>
  <c r="C24" i="20"/>
  <c r="N7" i="35"/>
  <c r="C18" i="20"/>
  <c r="N5" i="35"/>
  <c r="N7" i="37"/>
  <c r="M60" i="36"/>
  <c r="M48" i="36"/>
  <c r="M48" i="35"/>
  <c r="G11" i="7"/>
  <c r="G23" i="7" s="1"/>
  <c r="G35" i="7" s="1"/>
  <c r="G47" i="7" s="1"/>
  <c r="G59" i="7" s="1"/>
  <c r="M24" i="33"/>
  <c r="M36" i="35"/>
  <c r="J43" i="18"/>
  <c r="X35" i="18" s="1"/>
  <c r="K83" i="55"/>
  <c r="K67" i="55"/>
  <c r="K55" i="55"/>
  <c r="K47" i="55"/>
  <c r="K35" i="55"/>
  <c r="K71" i="55"/>
  <c r="K59" i="55"/>
  <c r="K43" i="55"/>
  <c r="K31" i="55"/>
  <c r="K23" i="55"/>
  <c r="K19" i="55"/>
  <c r="J82" i="55"/>
  <c r="I82" i="55"/>
  <c r="K81" i="55"/>
  <c r="J80" i="55"/>
  <c r="I80" i="55"/>
  <c r="K79" i="55"/>
  <c r="J78" i="55"/>
  <c r="I78" i="55"/>
  <c r="K77" i="55"/>
  <c r="J76" i="55"/>
  <c r="I76" i="55"/>
  <c r="K75" i="55"/>
  <c r="J74" i="55"/>
  <c r="I74" i="55"/>
  <c r="K73" i="55"/>
  <c r="J72" i="55"/>
  <c r="I72" i="55"/>
  <c r="J65" i="55"/>
  <c r="I65" i="55"/>
  <c r="J61" i="55"/>
  <c r="I61" i="55"/>
  <c r="J53" i="55"/>
  <c r="I53" i="55"/>
  <c r="J49" i="55"/>
  <c r="I49" i="55"/>
  <c r="J41" i="55"/>
  <c r="I41" i="55"/>
  <c r="J37" i="55"/>
  <c r="I37" i="55"/>
  <c r="J29" i="55"/>
  <c r="I29" i="55"/>
  <c r="J25" i="55"/>
  <c r="I25" i="55"/>
  <c r="J17" i="55"/>
  <c r="I17" i="55"/>
  <c r="J13" i="55"/>
  <c r="E20" i="12"/>
  <c r="C11" i="4"/>
  <c r="O17" i="4" s="1"/>
  <c r="O18" i="4" s="1"/>
  <c r="O11" i="4" s="1"/>
  <c r="K31" i="2"/>
  <c r="K30" i="2" s="1"/>
  <c r="BB61" i="4"/>
  <c r="O17" i="9" s="1"/>
  <c r="B5" i="37" s="1"/>
  <c r="B12" i="37" s="1"/>
  <c r="BB30" i="4"/>
  <c r="AL61" i="4"/>
  <c r="AL66" i="4" s="1"/>
  <c r="AL30" i="4"/>
  <c r="AL31" i="4"/>
  <c r="AY61" i="4"/>
  <c r="N17" i="9" s="1"/>
  <c r="AY30" i="4"/>
  <c r="AV61" i="4"/>
  <c r="M17" i="9" s="1"/>
  <c r="I6" i="35" s="1"/>
  <c r="O30" i="35" s="1"/>
  <c r="AV30" i="4"/>
  <c r="AA62" i="4"/>
  <c r="AA30" i="4"/>
  <c r="AA31" i="4"/>
  <c r="B11" i="40"/>
  <c r="B25" i="19" s="1"/>
  <c r="B31" i="2"/>
  <c r="B30" i="2" s="1"/>
  <c r="N9" i="16"/>
  <c r="P62" i="56"/>
  <c r="Q46" i="56"/>
  <c r="P53" i="56"/>
  <c r="O59" i="56"/>
  <c r="P25" i="56"/>
  <c r="O61" i="56"/>
  <c r="B23" i="2"/>
  <c r="BG121" i="4"/>
  <c r="B15" i="2"/>
  <c r="B11" i="2"/>
  <c r="K11" i="2"/>
  <c r="B11" i="5"/>
  <c r="E11" i="5" s="1"/>
  <c r="H11" i="5" s="1"/>
  <c r="K15" i="2"/>
  <c r="K34" i="2"/>
  <c r="K33" i="2" s="1"/>
  <c r="K32" i="2" s="1"/>
  <c r="K20" i="2"/>
  <c r="K22" i="2"/>
  <c r="I30" i="2"/>
  <c r="Y9" i="16"/>
  <c r="B15" i="5"/>
  <c r="E15" i="5" s="1"/>
  <c r="H15" i="5" s="1"/>
  <c r="B9" i="5"/>
  <c r="E9" i="5" s="1"/>
  <c r="G9" i="5" s="1"/>
  <c r="B27" i="19"/>
  <c r="D27" i="19" s="1"/>
  <c r="I17" i="52"/>
  <c r="B5" i="53" s="1"/>
  <c r="B12" i="53" s="1"/>
  <c r="B5" i="55"/>
  <c r="B12" i="55" s="1"/>
  <c r="I12" i="55" s="1"/>
  <c r="I6" i="55"/>
  <c r="AA61" i="4"/>
  <c r="K17" i="9" s="1"/>
  <c r="B5" i="33" s="1"/>
  <c r="B12" i="33" s="1"/>
  <c r="I12" i="33" s="1"/>
  <c r="I6" i="24"/>
  <c r="P24" i="24" s="1"/>
  <c r="B5" i="24"/>
  <c r="G11" i="24" s="1"/>
  <c r="G23" i="24" s="1"/>
  <c r="G35" i="24" s="1"/>
  <c r="G47" i="24" s="1"/>
  <c r="G59" i="24" s="1"/>
  <c r="H9" i="16"/>
  <c r="Q13" i="22"/>
  <c r="O39" i="22"/>
  <c r="O79" i="22"/>
  <c r="Q48" i="22"/>
  <c r="O69" i="22"/>
  <c r="Q21" i="22"/>
  <c r="B5" i="22"/>
  <c r="G11" i="22" s="1"/>
  <c r="G23" i="22" s="1"/>
  <c r="G35" i="22" s="1"/>
  <c r="G47" i="22" s="1"/>
  <c r="G59" i="22" s="1"/>
  <c r="Q32" i="22"/>
  <c r="R3" i="22"/>
  <c r="P27" i="22"/>
  <c r="Q26" i="22"/>
  <c r="Q49" i="22"/>
  <c r="P64" i="22"/>
  <c r="P68" i="22"/>
  <c r="P25" i="22"/>
  <c r="P17" i="22"/>
  <c r="B5" i="23"/>
  <c r="G11" i="23" s="1"/>
  <c r="G23" i="23" s="1"/>
  <c r="G35" i="23" s="1"/>
  <c r="G47" i="23" s="1"/>
  <c r="G59" i="23" s="1"/>
  <c r="P43" i="22"/>
  <c r="O37" i="22"/>
  <c r="P61" i="22"/>
  <c r="B12" i="48"/>
  <c r="I12" i="48" s="1"/>
  <c r="Q19" i="23"/>
  <c r="P70" i="23"/>
  <c r="P30" i="23"/>
  <c r="P82" i="23"/>
  <c r="Q13" i="23"/>
  <c r="P37" i="23"/>
  <c r="Q57" i="23"/>
  <c r="Q73" i="23"/>
  <c r="O30" i="23"/>
  <c r="R7" i="23"/>
  <c r="O27" i="23"/>
  <c r="O35" i="23"/>
  <c r="O12" i="23"/>
  <c r="P32" i="23"/>
  <c r="O49" i="23"/>
  <c r="Q26" i="23"/>
  <c r="P27" i="23"/>
  <c r="O18" i="23"/>
  <c r="Q69" i="23"/>
  <c r="O68" i="23"/>
  <c r="P64" i="23"/>
  <c r="O44" i="23"/>
  <c r="Q44" i="23"/>
  <c r="Q16" i="23"/>
  <c r="O19" i="23"/>
  <c r="P73" i="23"/>
  <c r="Q29" i="23"/>
  <c r="P36" i="23"/>
  <c r="P19" i="23"/>
  <c r="O81" i="23"/>
  <c r="P74" i="23"/>
  <c r="Q12" i="23"/>
  <c r="Q78" i="23"/>
  <c r="P44" i="23"/>
  <c r="O52" i="23"/>
  <c r="Q77" i="23"/>
  <c r="P51" i="23"/>
  <c r="P66" i="23"/>
  <c r="Q31" i="23"/>
  <c r="P43" i="23"/>
  <c r="O61" i="23"/>
  <c r="Q58" i="23"/>
  <c r="P21" i="23"/>
  <c r="P59" i="23"/>
  <c r="P80" i="23"/>
  <c r="Q74" i="23"/>
  <c r="Q34" i="23"/>
  <c r="Q15" i="23"/>
  <c r="Q56" i="23"/>
  <c r="Q59" i="23"/>
  <c r="Q28" i="23"/>
  <c r="P76" i="23"/>
  <c r="Q63" i="23"/>
  <c r="O63" i="23"/>
  <c r="Q72" i="23"/>
  <c r="O16" i="23"/>
  <c r="P67" i="23"/>
  <c r="O32" i="23"/>
  <c r="B16" i="2"/>
  <c r="B23" i="5"/>
  <c r="Q44" i="22"/>
  <c r="Q14" i="22"/>
  <c r="Q76" i="22"/>
  <c r="O14" i="22"/>
  <c r="Q24" i="22"/>
  <c r="B18" i="40"/>
  <c r="B12" i="5"/>
  <c r="I6" i="48"/>
  <c r="B29" i="19"/>
  <c r="B41" i="19" s="1"/>
  <c r="I6" i="54"/>
  <c r="Q70" i="54" s="1"/>
  <c r="B5" i="54"/>
  <c r="B12" i="54" s="1"/>
  <c r="D12" i="54" s="1"/>
  <c r="E62" i="18"/>
  <c r="E64" i="18"/>
  <c r="E63" i="18"/>
  <c r="E66" i="18"/>
  <c r="I6" i="8"/>
  <c r="Q54" i="8" s="1"/>
  <c r="B5" i="8"/>
  <c r="B11" i="8" s="1"/>
  <c r="O16" i="22"/>
  <c r="Q37" i="22"/>
  <c r="Q11" i="22"/>
  <c r="Q57" i="22"/>
  <c r="O45" i="22"/>
  <c r="P44" i="22"/>
  <c r="O71" i="22"/>
  <c r="Q17" i="22"/>
  <c r="O31" i="22"/>
  <c r="O23" i="22"/>
  <c r="Q67" i="22"/>
  <c r="P62" i="22"/>
  <c r="O41" i="22"/>
  <c r="Q46" i="22"/>
  <c r="O32" i="22"/>
  <c r="P48" i="22"/>
  <c r="O80" i="22"/>
  <c r="P37" i="22"/>
  <c r="O48" i="22"/>
  <c r="P40" i="22"/>
  <c r="O57" i="22"/>
  <c r="P75" i="22"/>
  <c r="P81" i="22"/>
  <c r="Q19" i="22"/>
  <c r="Q29" i="22"/>
  <c r="Q59" i="22"/>
  <c r="P30" i="22"/>
  <c r="P19" i="22"/>
  <c r="O40" i="22"/>
  <c r="P78" i="22"/>
  <c r="P70" i="22"/>
  <c r="Q43" i="22"/>
  <c r="O70" i="22"/>
  <c r="O63" i="22"/>
  <c r="P60" i="22"/>
  <c r="P14" i="22"/>
  <c r="P36" i="22"/>
  <c r="O77" i="22"/>
  <c r="O66" i="22"/>
  <c r="P23" i="22"/>
  <c r="P58" i="22"/>
  <c r="O22" i="22"/>
  <c r="O81" i="22"/>
  <c r="P39" i="22"/>
  <c r="P67" i="22"/>
  <c r="Q39" i="22"/>
  <c r="O64" i="22"/>
  <c r="Q47" i="22"/>
  <c r="P53" i="22"/>
  <c r="O60" i="22"/>
  <c r="Q73" i="22"/>
  <c r="P77" i="22"/>
  <c r="Q28" i="22"/>
  <c r="R4" i="22"/>
  <c r="Q54" i="22"/>
  <c r="P69" i="22"/>
  <c r="O24" i="22"/>
  <c r="O15" i="22"/>
  <c r="P71" i="22"/>
  <c r="Q50" i="22"/>
  <c r="Q33" i="22"/>
  <c r="P47" i="22"/>
  <c r="R8" i="22"/>
  <c r="O21" i="22"/>
  <c r="P82" i="22"/>
  <c r="O53" i="22"/>
  <c r="Q75" i="22"/>
  <c r="Q65" i="22"/>
  <c r="Q51" i="22"/>
  <c r="Q58" i="22"/>
  <c r="P18" i="22"/>
  <c r="P33" i="22"/>
  <c r="O20" i="22"/>
  <c r="O65" i="22"/>
  <c r="O46" i="22"/>
  <c r="O18" i="22"/>
  <c r="O29" i="22"/>
  <c r="P54" i="22"/>
  <c r="P79" i="22"/>
  <c r="O58" i="22"/>
  <c r="O49" i="22"/>
  <c r="O73" i="22"/>
  <c r="Q35" i="22"/>
  <c r="P34" i="22"/>
  <c r="Q31" i="22"/>
  <c r="P46" i="22"/>
  <c r="P16" i="22"/>
  <c r="Q30" i="22"/>
  <c r="Q42" i="22"/>
  <c r="Q81" i="22"/>
  <c r="Q60" i="22"/>
  <c r="Q22" i="22"/>
  <c r="O26" i="22"/>
  <c r="P55" i="22"/>
  <c r="P26" i="22"/>
  <c r="P15" i="22"/>
  <c r="P32" i="22"/>
  <c r="Q63" i="22"/>
  <c r="O51" i="23"/>
  <c r="P63" i="23"/>
  <c r="O66" i="23"/>
  <c r="O37" i="23"/>
  <c r="O62" i="23"/>
  <c r="P24" i="23"/>
  <c r="Q80" i="23"/>
  <c r="P14" i="23"/>
  <c r="O72" i="23"/>
  <c r="Q17" i="23"/>
  <c r="O47" i="23"/>
  <c r="O65" i="23"/>
  <c r="Q22" i="23"/>
  <c r="P33" i="23"/>
  <c r="O31" i="23"/>
  <c r="Q67" i="23"/>
  <c r="O24" i="23"/>
  <c r="P53" i="23"/>
  <c r="R5" i="22"/>
  <c r="Q25" i="22"/>
  <c r="Q82" i="22"/>
  <c r="P29" i="22"/>
  <c r="Q20" i="22"/>
  <c r="P31" i="22"/>
  <c r="R6" i="22"/>
  <c r="O28" i="22"/>
  <c r="P57" i="22"/>
  <c r="Q36" i="22"/>
  <c r="O36" i="22"/>
  <c r="Q55" i="22"/>
  <c r="P45" i="22"/>
  <c r="Q69" i="22"/>
  <c r="P63" i="22"/>
  <c r="P59" i="22"/>
  <c r="O38" i="22"/>
  <c r="Q15" i="22"/>
  <c r="Q23" i="22"/>
  <c r="Q71" i="22"/>
  <c r="B11" i="21"/>
  <c r="I6" i="21"/>
  <c r="O19" i="56"/>
  <c r="B9" i="2"/>
  <c r="Q31" i="56"/>
  <c r="P61" i="56"/>
  <c r="Q75" i="56"/>
  <c r="R6" i="56"/>
  <c r="P15" i="56"/>
  <c r="P74" i="22"/>
  <c r="O67" i="22"/>
  <c r="Q41" i="22"/>
  <c r="O30" i="22"/>
  <c r="O62" i="22"/>
  <c r="Q79" i="22"/>
  <c r="O54" i="22"/>
  <c r="P41" i="22"/>
  <c r="O72" i="22"/>
  <c r="O42" i="22"/>
  <c r="P12" i="22"/>
  <c r="Q12" i="22"/>
  <c r="Q80" i="22"/>
  <c r="Q72" i="22"/>
  <c r="Q38" i="22"/>
  <c r="Q52" i="22"/>
  <c r="O11" i="22"/>
  <c r="O13" i="22"/>
  <c r="O27" i="22"/>
  <c r="O75" i="22"/>
  <c r="Q66" i="22"/>
  <c r="O61" i="22"/>
  <c r="P42" i="22"/>
  <c r="O68" i="22"/>
  <c r="O51" i="22"/>
  <c r="Q16" i="22"/>
  <c r="P21" i="22"/>
  <c r="O82" i="22"/>
  <c r="P50" i="22"/>
  <c r="Q53" i="22"/>
  <c r="P35" i="22"/>
  <c r="Q40" i="22"/>
  <c r="P65" i="22"/>
  <c r="Q27" i="22"/>
  <c r="O25" i="22"/>
  <c r="P24" i="22"/>
  <c r="O35" i="22"/>
  <c r="Q68" i="22"/>
  <c r="O43" i="22"/>
  <c r="Q78" i="22"/>
  <c r="O44" i="22"/>
  <c r="Q74" i="22"/>
  <c r="O19" i="22"/>
  <c r="Q34" i="22"/>
  <c r="P76" i="22"/>
  <c r="P38" i="22"/>
  <c r="Q56" i="22"/>
  <c r="P72" i="22"/>
  <c r="O75" i="56"/>
  <c r="Q21" i="56"/>
  <c r="B5" i="56"/>
  <c r="I28" i="2"/>
  <c r="B29" i="2"/>
  <c r="B28" i="2" s="1"/>
  <c r="B13" i="19" s="1"/>
  <c r="O22" i="56"/>
  <c r="O47" i="56"/>
  <c r="P82" i="56"/>
  <c r="O65" i="56"/>
  <c r="O62" i="56"/>
  <c r="Q33" i="56"/>
  <c r="Q54" i="56"/>
  <c r="O63" i="56"/>
  <c r="Q32" i="56"/>
  <c r="Q17" i="56"/>
  <c r="O25" i="56"/>
  <c r="P24" i="56"/>
  <c r="O17" i="56"/>
  <c r="O83" i="56"/>
  <c r="O12" i="56"/>
  <c r="O70" i="56"/>
  <c r="O64" i="56"/>
  <c r="P55" i="56"/>
  <c r="P17" i="56"/>
  <c r="P14" i="56"/>
  <c r="Q27" i="56"/>
  <c r="O73" i="56"/>
  <c r="R7" i="56"/>
  <c r="P39" i="56"/>
  <c r="O39" i="56"/>
  <c r="O69" i="56"/>
  <c r="Q59" i="56"/>
  <c r="Q39" i="56"/>
  <c r="Q55" i="56"/>
  <c r="Q65" i="56"/>
  <c r="Q79" i="56"/>
  <c r="P23" i="56"/>
  <c r="P63" i="56"/>
  <c r="R5" i="56"/>
  <c r="Q63" i="56"/>
  <c r="P56" i="23"/>
  <c r="Q53" i="23"/>
  <c r="P55" i="23"/>
  <c r="Q50" i="23"/>
  <c r="P46" i="23"/>
  <c r="O55" i="23"/>
  <c r="O29" i="23"/>
  <c r="P42" i="23"/>
  <c r="P22" i="23"/>
  <c r="P68" i="23"/>
  <c r="P60" i="23"/>
  <c r="O26" i="23"/>
  <c r="O67" i="23"/>
  <c r="P41" i="23"/>
  <c r="R5" i="23"/>
  <c r="Q32" i="23"/>
  <c r="Q54" i="23"/>
  <c r="O38" i="23"/>
  <c r="Q47" i="23"/>
  <c r="O58" i="23"/>
  <c r="Q27" i="23"/>
  <c r="Q61" i="23"/>
  <c r="Q21" i="23"/>
  <c r="Q38" i="23"/>
  <c r="P78" i="23"/>
  <c r="P40" i="23"/>
  <c r="O57" i="23"/>
  <c r="O45" i="23"/>
  <c r="Q70" i="23"/>
  <c r="O34" i="23"/>
  <c r="O40" i="23"/>
  <c r="P16" i="23"/>
  <c r="Q65" i="23"/>
  <c r="Q45" i="23"/>
  <c r="P77" i="23"/>
  <c r="O15" i="23"/>
  <c r="O28" i="23"/>
  <c r="O36" i="23"/>
  <c r="P25" i="23"/>
  <c r="Q82" i="23"/>
  <c r="P17" i="23"/>
  <c r="R3" i="23"/>
  <c r="P35" i="23"/>
  <c r="O39" i="23"/>
  <c r="O56" i="23"/>
  <c r="Q71" i="23"/>
  <c r="Q75" i="23"/>
  <c r="Q25" i="23"/>
  <c r="Q14" i="23"/>
  <c r="Q66" i="23"/>
  <c r="P18" i="23"/>
  <c r="P29" i="23"/>
  <c r="P61" i="23"/>
  <c r="Q39" i="23"/>
  <c r="O23" i="23"/>
  <c r="R6" i="23"/>
  <c r="O80" i="23"/>
  <c r="Q46" i="23"/>
  <c r="P58" i="23"/>
  <c r="O71" i="23"/>
  <c r="O21" i="23"/>
  <c r="O59" i="23"/>
  <c r="O46" i="23"/>
  <c r="O22" i="23"/>
  <c r="P34" i="23"/>
  <c r="P15" i="23"/>
  <c r="Q37" i="23"/>
  <c r="O20" i="23"/>
  <c r="Q41" i="23"/>
  <c r="P50" i="23"/>
  <c r="O48" i="23"/>
  <c r="O25" i="23"/>
  <c r="O43" i="23"/>
  <c r="P13" i="23"/>
  <c r="P72" i="23"/>
  <c r="Q68" i="23"/>
  <c r="P38" i="23"/>
  <c r="B16" i="5"/>
  <c r="B12" i="2"/>
  <c r="K14" i="2"/>
  <c r="K12" i="2"/>
  <c r="I19" i="2"/>
  <c r="H30" i="2"/>
  <c r="K17" i="2"/>
  <c r="AE9" i="16"/>
  <c r="AF15" i="16"/>
  <c r="AF62" i="16"/>
  <c r="U65" i="16"/>
  <c r="D31" i="16"/>
  <c r="D34" i="16"/>
  <c r="N10" i="42"/>
  <c r="V10" i="42"/>
  <c r="AI10" i="42"/>
  <c r="U14" i="42"/>
  <c r="J14" i="14" s="1"/>
  <c r="J21" i="16" s="1"/>
  <c r="AL12" i="42"/>
  <c r="AN12" i="42" s="1"/>
  <c r="AX11" i="42"/>
  <c r="S17" i="42"/>
  <c r="BM17" i="42"/>
  <c r="BU17" i="42" s="1"/>
  <c r="CC17" i="42" s="1"/>
  <c r="E18" i="42"/>
  <c r="Z18" i="42" s="1"/>
  <c r="E11" i="42"/>
  <c r="AP12" i="42"/>
  <c r="AQ12" i="42" s="1"/>
  <c r="W21" i="42"/>
  <c r="BB17" i="42"/>
  <c r="R10" i="42"/>
  <c r="AX13" i="42"/>
  <c r="AV17" i="42"/>
  <c r="O21" i="42"/>
  <c r="K17" i="42"/>
  <c r="AT17" i="42"/>
  <c r="E20" i="42"/>
  <c r="AT15" i="42"/>
  <c r="AU15" i="42" s="1"/>
  <c r="AL15" i="42"/>
  <c r="BD15" i="42" s="1"/>
  <c r="AP17" i="42"/>
  <c r="AN17" i="42"/>
  <c r="W17" i="42"/>
  <c r="BI12" i="42"/>
  <c r="BI11" i="42"/>
  <c r="BQ11" i="42" s="1"/>
  <c r="BY11" i="42" s="1"/>
  <c r="W14" i="42"/>
  <c r="AA14" i="42"/>
  <c r="E12" i="42"/>
  <c r="R12" i="42" s="1"/>
  <c r="AI12" i="42"/>
  <c r="BI10" i="42"/>
  <c r="BQ10" i="42" s="1"/>
  <c r="BY10" i="42" s="1"/>
  <c r="AT11" i="42"/>
  <c r="AH11" i="42"/>
  <c r="BC11" i="42" s="1"/>
  <c r="AL11" i="42"/>
  <c r="AR11" i="42" s="1"/>
  <c r="AP19" i="42"/>
  <c r="O22" i="42"/>
  <c r="AH22" i="42"/>
  <c r="S20" i="42"/>
  <c r="BB18" i="42"/>
  <c r="AL19" i="42"/>
  <c r="AV19" i="42" s="1"/>
  <c r="O20" i="42"/>
  <c r="AX16" i="42"/>
  <c r="BI19" i="42"/>
  <c r="BL19" i="42" s="1"/>
  <c r="S18" i="42"/>
  <c r="AZ20" i="42"/>
  <c r="O18" i="42"/>
  <c r="K18" i="42"/>
  <c r="AZ16" i="42"/>
  <c r="K21" i="42"/>
  <c r="AR20" i="42"/>
  <c r="AV20" i="42"/>
  <c r="BB19" i="42"/>
  <c r="S21" i="42"/>
  <c r="S19" i="42"/>
  <c r="AT21" i="42"/>
  <c r="AU21" i="42" s="1"/>
  <c r="BT20" i="42"/>
  <c r="BV20" i="42" s="1"/>
  <c r="AZ17" i="42"/>
  <c r="AT19" i="42"/>
  <c r="AU19" i="42" s="1"/>
  <c r="AA18" i="42"/>
  <c r="AR18" i="42"/>
  <c r="AZ18" i="42"/>
  <c r="AV18" i="42"/>
  <c r="AR16" i="42"/>
  <c r="AM14" i="42"/>
  <c r="AH16" i="42"/>
  <c r="AY19" i="42" s="1"/>
  <c r="BI16" i="42"/>
  <c r="BL16" i="42" s="1"/>
  <c r="BN16" i="42" s="1"/>
  <c r="AT18" i="42"/>
  <c r="AU18" i="42" s="1"/>
  <c r="W22" i="42"/>
  <c r="BI15" i="42"/>
  <c r="BQ15" i="42" s="1"/>
  <c r="BY15" i="42" s="1"/>
  <c r="CB15" i="42" s="1"/>
  <c r="AA22" i="42"/>
  <c r="BB10" i="42"/>
  <c r="BC10" i="42" s="1"/>
  <c r="AP10" i="42"/>
  <c r="AQ10" i="42" s="1"/>
  <c r="AT16" i="42"/>
  <c r="AU16" i="42" s="1"/>
  <c r="Y14" i="42"/>
  <c r="M14" i="14" s="1"/>
  <c r="M21" i="16" s="1"/>
  <c r="AG18" i="42"/>
  <c r="AH18" i="42" s="1"/>
  <c r="AP11" i="42"/>
  <c r="AQ11" i="42" s="1"/>
  <c r="AL10" i="42"/>
  <c r="BL10" i="42" s="1"/>
  <c r="M14" i="42"/>
  <c r="D14" i="14" s="1"/>
  <c r="AN16" i="42"/>
  <c r="BD16" i="42"/>
  <c r="W20" i="42"/>
  <c r="AP16" i="42"/>
  <c r="AQ16" i="42" s="1"/>
  <c r="AP18" i="42"/>
  <c r="AQ18" i="42" s="1"/>
  <c r="BB22" i="42"/>
  <c r="BC22" i="42" s="1"/>
  <c r="AI15" i="42"/>
  <c r="AP15" i="42"/>
  <c r="AQ15" i="42" s="1"/>
  <c r="AT10" i="42"/>
  <c r="AU10" i="42" s="1"/>
  <c r="AA20" i="42"/>
  <c r="BI18" i="42"/>
  <c r="AI16" i="42"/>
  <c r="AL13" i="42"/>
  <c r="AZ13" i="42" s="1"/>
  <c r="AI11" i="42"/>
  <c r="BB16" i="42"/>
  <c r="BC16" i="42" s="1"/>
  <c r="AX18" i="42"/>
  <c r="AY18" i="42" s="1"/>
  <c r="AT20" i="42"/>
  <c r="AU20" i="42" s="1"/>
  <c r="AT22" i="42"/>
  <c r="AU22" i="42" s="1"/>
  <c r="S22" i="42"/>
  <c r="BB15" i="42"/>
  <c r="BC15" i="42" s="1"/>
  <c r="AX15" i="42"/>
  <c r="AY15" i="42" s="1"/>
  <c r="AN18" i="42"/>
  <c r="AX10" i="42"/>
  <c r="AY10" i="42" s="1"/>
  <c r="AL22" i="42"/>
  <c r="BD22" i="42" s="1"/>
  <c r="K42" i="42"/>
  <c r="O14" i="42"/>
  <c r="C24" i="42"/>
  <c r="K14" i="42"/>
  <c r="E22" i="42"/>
  <c r="BI22" i="42"/>
  <c r="AP22" i="42"/>
  <c r="AQ22" i="42" s="1"/>
  <c r="W19" i="42"/>
  <c r="AP20" i="42"/>
  <c r="AQ20" i="42" s="1"/>
  <c r="AX20" i="42"/>
  <c r="AY20" i="42" s="1"/>
  <c r="CD20" i="42"/>
  <c r="BN20" i="42"/>
  <c r="BQ12" i="42"/>
  <c r="BY12" i="42" s="1"/>
  <c r="AN20" i="42"/>
  <c r="BB20" i="42"/>
  <c r="BC20" i="42" s="1"/>
  <c r="BQ17" i="42"/>
  <c r="O19" i="42"/>
  <c r="K19" i="42"/>
  <c r="C121" i="12"/>
  <c r="L79" i="12"/>
  <c r="L6" i="62"/>
  <c r="E24" i="12"/>
  <c r="F12" i="12"/>
  <c r="E12" i="12"/>
  <c r="E139" i="12"/>
  <c r="E140" i="12"/>
  <c r="E16" i="12"/>
  <c r="C122" i="12"/>
  <c r="F21" i="12"/>
  <c r="F22" i="12" s="1"/>
  <c r="E22" i="12"/>
  <c r="E18" i="12"/>
  <c r="E10" i="12"/>
  <c r="F17" i="12"/>
  <c r="F23" i="12"/>
  <c r="F10" i="12"/>
  <c r="AC8" i="12"/>
  <c r="AC6" i="62" s="1"/>
  <c r="X8" i="12"/>
  <c r="X6" i="62" s="1"/>
  <c r="H8" i="12"/>
  <c r="O8" i="12"/>
  <c r="A10" i="61"/>
  <c r="F8" i="12"/>
  <c r="M48" i="48"/>
  <c r="M60" i="48"/>
  <c r="N5" i="48"/>
  <c r="G12" i="32"/>
  <c r="N5" i="32"/>
  <c r="M36" i="37"/>
  <c r="AG8" i="12"/>
  <c r="AG6" i="62" s="1"/>
  <c r="N6" i="32"/>
  <c r="M24" i="48"/>
  <c r="F11" i="1"/>
  <c r="X7" i="18" s="1"/>
  <c r="N7" i="48"/>
  <c r="B13" i="5"/>
  <c r="E13" i="5" s="1"/>
  <c r="H13" i="5" s="1"/>
  <c r="B20" i="5"/>
  <c r="E20" i="5" s="1"/>
  <c r="B22" i="5"/>
  <c r="E22" i="5" s="1"/>
  <c r="H22" i="5" s="1"/>
  <c r="B10" i="5"/>
  <c r="E10" i="5" s="1"/>
  <c r="H10" i="5" s="1"/>
  <c r="E18" i="14"/>
  <c r="E26" i="16" s="1"/>
  <c r="C43" i="18"/>
  <c r="P4" i="32"/>
  <c r="K12" i="32"/>
  <c r="C12" i="32"/>
  <c r="J12" i="32" s="1"/>
  <c r="B13" i="32"/>
  <c r="O6" i="32"/>
  <c r="I11" i="7"/>
  <c r="D11" i="7"/>
  <c r="K11" i="7" s="1"/>
  <c r="R14" i="32"/>
  <c r="R15" i="32" s="1"/>
  <c r="R16" i="32" s="1"/>
  <c r="R17" i="32" s="1"/>
  <c r="R18" i="32" s="1"/>
  <c r="O27" i="32"/>
  <c r="O28" i="32"/>
  <c r="Q37" i="32"/>
  <c r="O75" i="32"/>
  <c r="O8" i="32" s="1"/>
  <c r="Q82" i="32"/>
  <c r="Q61" i="32"/>
  <c r="Q62" i="32"/>
  <c r="Q18" i="32"/>
  <c r="Q60" i="32"/>
  <c r="O47" i="32"/>
  <c r="P63" i="32"/>
  <c r="O41" i="32"/>
  <c r="O5" i="32" s="1"/>
  <c r="P82" i="32"/>
  <c r="P40" i="32"/>
  <c r="Q59" i="32"/>
  <c r="Q69" i="32"/>
  <c r="Q16" i="32"/>
  <c r="P21" i="32"/>
  <c r="O32" i="32"/>
  <c r="Q24" i="32"/>
  <c r="P36" i="32"/>
  <c r="P62" i="32"/>
  <c r="P7" i="32" s="1"/>
  <c r="Q26" i="32"/>
  <c r="I6" i="7"/>
  <c r="S19" i="14"/>
  <c r="G42" i="18"/>
  <c r="T36" i="63" s="1"/>
  <c r="AF17" i="14"/>
  <c r="G21" i="18" s="1"/>
  <c r="I43" i="18"/>
  <c r="C32" i="18"/>
  <c r="B22" i="2"/>
  <c r="B12" i="19"/>
  <c r="K21" i="2"/>
  <c r="B21" i="5"/>
  <c r="E21" i="5" s="1"/>
  <c r="H21" i="5" s="1"/>
  <c r="K10" i="2"/>
  <c r="E7" i="2"/>
  <c r="D109" i="4"/>
  <c r="E109" i="4" s="1"/>
  <c r="G109" i="4" s="1"/>
  <c r="H109" i="4" s="1"/>
  <c r="J109" i="4" s="1"/>
  <c r="K109" i="4" s="1"/>
  <c r="B10" i="2"/>
  <c r="B34" i="2"/>
  <c r="B33" i="2" s="1"/>
  <c r="B14" i="2"/>
  <c r="I33" i="2"/>
  <c r="I32" i="2" s="1"/>
  <c r="B21" i="2"/>
  <c r="K16" i="2"/>
  <c r="K13" i="2"/>
  <c r="B17" i="5"/>
  <c r="B14" i="5"/>
  <c r="E14" i="5" s="1"/>
  <c r="H14" i="5" s="1"/>
  <c r="I8" i="2"/>
  <c r="K9" i="2"/>
  <c r="F7" i="2"/>
  <c r="H19" i="2"/>
  <c r="T65" i="16"/>
  <c r="F23" i="14"/>
  <c r="G23" i="14" s="1"/>
  <c r="G31" i="16" s="1"/>
  <c r="E31" i="16"/>
  <c r="E34" i="16"/>
  <c r="F26" i="14"/>
  <c r="U26" i="16"/>
  <c r="V18" i="14"/>
  <c r="W18" i="14" s="1"/>
  <c r="W26" i="16" s="1"/>
  <c r="U28" i="14"/>
  <c r="U36" i="16" s="1"/>
  <c r="E20" i="14"/>
  <c r="E28" i="16" s="1"/>
  <c r="E28" i="14"/>
  <c r="F28" i="14" s="1"/>
  <c r="W65" i="16"/>
  <c r="AF42" i="16"/>
  <c r="Y65" i="16"/>
  <c r="O65" i="16"/>
  <c r="AB65" i="16"/>
  <c r="O42" i="16"/>
  <c r="AG44" i="16"/>
  <c r="F36" i="19" s="1"/>
  <c r="H36" i="19" s="1"/>
  <c r="J36" i="19" s="1"/>
  <c r="L36" i="19" s="1"/>
  <c r="D36" i="19"/>
  <c r="AE65" i="16"/>
  <c r="AD65" i="16"/>
  <c r="O25" i="16"/>
  <c r="AC65" i="16"/>
  <c r="V65" i="16"/>
  <c r="AA65" i="16"/>
  <c r="X65" i="16"/>
  <c r="G33" i="16"/>
  <c r="H25" i="14"/>
  <c r="T26" i="16"/>
  <c r="F33" i="16"/>
  <c r="E24" i="14"/>
  <c r="F19" i="14"/>
  <c r="F38" i="16"/>
  <c r="AF25" i="16"/>
  <c r="D27" i="16"/>
  <c r="E33" i="16"/>
  <c r="C40" i="18"/>
  <c r="C27" i="18"/>
  <c r="C31" i="18"/>
  <c r="C26" i="18"/>
  <c r="C45" i="18"/>
  <c r="C25" i="18"/>
  <c r="F8" i="18"/>
  <c r="C19" i="18"/>
  <c r="C39" i="18"/>
  <c r="C21" i="18"/>
  <c r="C49" i="18"/>
  <c r="B18" i="18"/>
  <c r="B38" i="18" s="1"/>
  <c r="C38" i="18"/>
  <c r="C37" i="18"/>
  <c r="C22" i="18"/>
  <c r="C18" i="18"/>
  <c r="C28" i="18"/>
  <c r="C41" i="18"/>
  <c r="C17" i="18"/>
  <c r="C29" i="18"/>
  <c r="C24" i="18"/>
  <c r="C36" i="18"/>
  <c r="C8" i="18"/>
  <c r="C30" i="18"/>
  <c r="C20" i="18"/>
  <c r="C33" i="18"/>
  <c r="C23" i="18"/>
  <c r="C35" i="18"/>
  <c r="AE8" i="12"/>
  <c r="AE6" i="62" s="1"/>
  <c r="AF8" i="12"/>
  <c r="AF6" i="62" s="1"/>
  <c r="AH8" i="12"/>
  <c r="AH6" i="62" s="1"/>
  <c r="I8" i="12"/>
  <c r="I18" i="62" s="1"/>
  <c r="AB18" i="62" s="1"/>
  <c r="E8" i="12"/>
  <c r="M8" i="12"/>
  <c r="AB8" i="12"/>
  <c r="G8" i="12"/>
  <c r="Y8" i="12"/>
  <c r="Y6" i="62" s="1"/>
  <c r="N8" i="12"/>
  <c r="AA8" i="12"/>
  <c r="G12" i="12"/>
  <c r="K8" i="12"/>
  <c r="K18" i="62" s="1"/>
  <c r="AD18" i="62" s="1"/>
  <c r="Z8" i="12"/>
  <c r="Z6" i="62" s="1"/>
  <c r="J8" i="12"/>
  <c r="D8" i="12"/>
  <c r="D18" i="62" s="1"/>
  <c r="W18" i="62" s="1"/>
  <c r="AD8" i="12"/>
  <c r="AD6" i="62" s="1"/>
  <c r="L42" i="18"/>
  <c r="C116" i="12"/>
  <c r="N5" i="33"/>
  <c r="M48" i="34"/>
  <c r="N6" i="37"/>
  <c r="N6" i="33"/>
  <c r="A11" i="61"/>
  <c r="N7" i="33"/>
  <c r="N5" i="37"/>
  <c r="M60" i="34"/>
  <c r="M36" i="34"/>
  <c r="B17" i="2"/>
  <c r="B13" i="2"/>
  <c r="O20" i="16"/>
  <c r="O23" i="16"/>
  <c r="AF23" i="16"/>
  <c r="AL81" i="61"/>
  <c r="AF20" i="16"/>
  <c r="E11" i="61"/>
  <c r="D11" i="61"/>
  <c r="E15" i="61"/>
  <c r="D15" i="61"/>
  <c r="E8" i="61"/>
  <c r="D8" i="61"/>
  <c r="E12" i="61"/>
  <c r="D12" i="61"/>
  <c r="E9" i="61"/>
  <c r="F9" i="61"/>
  <c r="D9" i="61"/>
  <c r="E13" i="61"/>
  <c r="D13" i="61"/>
  <c r="E10" i="61"/>
  <c r="D10" i="61"/>
  <c r="E14" i="61"/>
  <c r="D14" i="61"/>
  <c r="P57" i="23"/>
  <c r="P81" i="23"/>
  <c r="O60" i="23"/>
  <c r="O70" i="23"/>
  <c r="Q62" i="23"/>
  <c r="Q55" i="23"/>
  <c r="O54" i="23"/>
  <c r="R8" i="23"/>
  <c r="Q64" i="23"/>
  <c r="P79" i="23"/>
  <c r="O50" i="23"/>
  <c r="O69" i="23"/>
  <c r="O64" i="23"/>
  <c r="O78" i="23"/>
  <c r="R4" i="23"/>
  <c r="P52" i="23"/>
  <c r="P69" i="23"/>
  <c r="Q43" i="23"/>
  <c r="O11" i="23"/>
  <c r="O82" i="23"/>
  <c r="Q35" i="23"/>
  <c r="Q23" i="23"/>
  <c r="O41" i="23"/>
  <c r="Q42" i="23"/>
  <c r="P28" i="23"/>
  <c r="P54" i="23"/>
  <c r="Q79" i="23"/>
  <c r="O74" i="23"/>
  <c r="P62" i="23"/>
  <c r="P45" i="23"/>
  <c r="O42" i="23"/>
  <c r="P39" i="23"/>
  <c r="Q40" i="23"/>
  <c r="Q18" i="23"/>
  <c r="P48" i="23"/>
  <c r="Q24" i="23"/>
  <c r="Q49" i="23"/>
  <c r="O75" i="23"/>
  <c r="O33" i="23"/>
  <c r="Q20" i="23"/>
  <c r="O14" i="23"/>
  <c r="Q11" i="23"/>
  <c r="Q30" i="23"/>
  <c r="P31" i="23"/>
  <c r="Q51" i="23"/>
  <c r="O77" i="23"/>
  <c r="P47" i="23"/>
  <c r="O73" i="23"/>
  <c r="P49" i="23"/>
  <c r="O17" i="23"/>
  <c r="Q60" i="23"/>
  <c r="P65" i="23"/>
  <c r="O53" i="23"/>
  <c r="O76" i="23"/>
  <c r="Q48" i="23"/>
  <c r="P26" i="23"/>
  <c r="Q81" i="23"/>
  <c r="O79" i="23"/>
  <c r="P75" i="23"/>
  <c r="P71" i="23"/>
  <c r="Q36" i="23"/>
  <c r="P20" i="23"/>
  <c r="O13" i="23"/>
  <c r="P12" i="23"/>
  <c r="P23" i="23"/>
  <c r="Q52" i="23"/>
  <c r="P11" i="23"/>
  <c r="Q33" i="23"/>
  <c r="Q76" i="23"/>
  <c r="H8" i="2"/>
  <c r="O17" i="22"/>
  <c r="P73" i="22"/>
  <c r="O34" i="22"/>
  <c r="P52" i="22"/>
  <c r="O59" i="22"/>
  <c r="P13" i="22"/>
  <c r="P66" i="22"/>
  <c r="O47" i="22"/>
  <c r="P51" i="22"/>
  <c r="Q61" i="22"/>
  <c r="P80" i="22"/>
  <c r="O76" i="22"/>
  <c r="Q62" i="22"/>
  <c r="P20" i="22"/>
  <c r="R7" i="22"/>
  <c r="Q45" i="22"/>
  <c r="P56" i="22"/>
  <c r="O55" i="22"/>
  <c r="Q18" i="22"/>
  <c r="O52" i="22"/>
  <c r="P28" i="22"/>
  <c r="O12" i="22"/>
  <c r="O33" i="22"/>
  <c r="P22" i="22"/>
  <c r="P49" i="22"/>
  <c r="Q70" i="22"/>
  <c r="O74" i="22"/>
  <c r="O50" i="22"/>
  <c r="P11" i="22"/>
  <c r="O78" i="22"/>
  <c r="Q77" i="22"/>
  <c r="Q64" i="22"/>
  <c r="O56" i="22"/>
  <c r="B20" i="2"/>
  <c r="P43" i="16"/>
  <c r="B31" i="19"/>
  <c r="BG123" i="4"/>
  <c r="BG122" i="4"/>
  <c r="E13" i="42"/>
  <c r="N13" i="42" s="1"/>
  <c r="AG13" i="42"/>
  <c r="G13" i="42"/>
  <c r="G14" i="42" s="1"/>
  <c r="AT12" i="42"/>
  <c r="AU12" i="42" s="1"/>
  <c r="BB12" i="42"/>
  <c r="AX12" i="42"/>
  <c r="F17" i="42"/>
  <c r="G16" i="42"/>
  <c r="BL11" i="42"/>
  <c r="V19" i="42"/>
  <c r="U23" i="42"/>
  <c r="R13" i="42"/>
  <c r="Q14" i="42"/>
  <c r="N17" i="42"/>
  <c r="M23" i="42"/>
  <c r="S15" i="42"/>
  <c r="AA15" i="42"/>
  <c r="K15" i="42"/>
  <c r="W15" i="42"/>
  <c r="I23" i="42"/>
  <c r="I24" i="42" s="1"/>
  <c r="BI21" i="42"/>
  <c r="AL21" i="42"/>
  <c r="AN21" i="42" s="1"/>
  <c r="AX21" i="42"/>
  <c r="AF23" i="42"/>
  <c r="R19" i="42"/>
  <c r="Q23" i="42"/>
  <c r="BB21" i="42"/>
  <c r="BC21" i="42" s="1"/>
  <c r="BM14" i="42"/>
  <c r="BR10" i="42"/>
  <c r="BZ15" i="42"/>
  <c r="AR12" i="42"/>
  <c r="AM23" i="42"/>
  <c r="AP21" i="42"/>
  <c r="Y23" i="42"/>
  <c r="BB13" i="42"/>
  <c r="AP13" i="42"/>
  <c r="AT13" i="42"/>
  <c r="AF14" i="42"/>
  <c r="D21" i="42"/>
  <c r="AG17" i="42"/>
  <c r="BD17" i="42"/>
  <c r="BD18" i="42"/>
  <c r="O14" i="16"/>
  <c r="L24" i="61"/>
  <c r="C17" i="9"/>
  <c r="C65" i="9" s="1"/>
  <c r="L90" i="12"/>
  <c r="C17" i="6"/>
  <c r="L7" i="61"/>
  <c r="K9" i="14"/>
  <c r="L36" i="12"/>
  <c r="L54" i="12" s="1"/>
  <c r="L35" i="61"/>
  <c r="C17" i="52"/>
  <c r="AJ71" i="12"/>
  <c r="F19" i="12"/>
  <c r="A9" i="61"/>
  <c r="F14" i="12"/>
  <c r="A15" i="61"/>
  <c r="C123" i="12"/>
  <c r="AJ70" i="12"/>
  <c r="C120" i="12"/>
  <c r="A12" i="61"/>
  <c r="F16" i="12"/>
  <c r="L48" i="61"/>
  <c r="L65" i="61" s="1"/>
  <c r="AF14" i="16"/>
  <c r="I6" i="12"/>
  <c r="J6" i="12" s="1"/>
  <c r="K6" i="12" s="1"/>
  <c r="L6" i="12" s="1"/>
  <c r="M6" i="12" s="1"/>
  <c r="N6" i="12" s="1"/>
  <c r="O6" i="12" s="1"/>
  <c r="G110" i="4"/>
  <c r="P44" i="56"/>
  <c r="P31" i="56"/>
  <c r="O42" i="56"/>
  <c r="Q15" i="56"/>
  <c r="O68" i="56"/>
  <c r="Q57" i="56"/>
  <c r="Q67" i="56"/>
  <c r="O34" i="56"/>
  <c r="P26" i="56"/>
  <c r="P12" i="56"/>
  <c r="P16" i="56"/>
  <c r="Q41" i="56"/>
  <c r="Q61" i="56"/>
  <c r="O50" i="56"/>
  <c r="O60" i="56"/>
  <c r="O82" i="56"/>
  <c r="Q69" i="56"/>
  <c r="P35" i="56"/>
  <c r="Q52" i="56"/>
  <c r="Q51" i="56"/>
  <c r="Q45" i="56"/>
  <c r="Q26" i="56"/>
  <c r="Q14" i="56"/>
  <c r="P38" i="56"/>
  <c r="O20" i="56"/>
  <c r="O72" i="56"/>
  <c r="P66" i="56"/>
  <c r="Q29" i="56"/>
  <c r="P56" i="56"/>
  <c r="O80" i="56"/>
  <c r="P33" i="56"/>
  <c r="Q36" i="56"/>
  <c r="O74" i="56"/>
  <c r="Q58" i="56"/>
  <c r="O45" i="56"/>
  <c r="P28" i="56"/>
  <c r="O18" i="56"/>
  <c r="Q34" i="56"/>
  <c r="O40" i="56"/>
  <c r="Q53" i="56"/>
  <c r="O71" i="56"/>
  <c r="R8" i="56"/>
  <c r="O49" i="56"/>
  <c r="Q66" i="56"/>
  <c r="Q24" i="56"/>
  <c r="O52" i="56"/>
  <c r="P74" i="56"/>
  <c r="Q60" i="56"/>
  <c r="Q62" i="56"/>
  <c r="O51" i="56"/>
  <c r="Q40" i="56"/>
  <c r="P19" i="56"/>
  <c r="O43" i="56"/>
  <c r="Q72" i="56"/>
  <c r="P70" i="56"/>
  <c r="P78" i="56"/>
  <c r="Q48" i="56"/>
  <c r="O21" i="56"/>
  <c r="O53" i="56"/>
  <c r="Q49" i="56"/>
  <c r="O35" i="56"/>
  <c r="P80" i="56"/>
  <c r="R3" i="56"/>
  <c r="P54" i="56"/>
  <c r="P20" i="56"/>
  <c r="Q23" i="56"/>
  <c r="P72" i="56"/>
  <c r="O36" i="56"/>
  <c r="P77" i="56"/>
  <c r="P58" i="56"/>
  <c r="P60" i="56"/>
  <c r="P18" i="56"/>
  <c r="O16" i="56"/>
  <c r="P67" i="56"/>
  <c r="O81" i="56"/>
  <c r="Q47" i="56"/>
  <c r="P47" i="56"/>
  <c r="Q18" i="56"/>
  <c r="P65" i="56"/>
  <c r="P43" i="56"/>
  <c r="P41" i="56"/>
  <c r="O32" i="56"/>
  <c r="P48" i="56"/>
  <c r="O67" i="56"/>
  <c r="P79" i="56"/>
  <c r="R4" i="56"/>
  <c r="P51" i="56"/>
  <c r="P68" i="56"/>
  <c r="P75" i="56"/>
  <c r="P36" i="56"/>
  <c r="P57" i="56"/>
  <c r="P76" i="56"/>
  <c r="Q44" i="56"/>
  <c r="O26" i="56"/>
  <c r="O66" i="56"/>
  <c r="O77" i="56"/>
  <c r="Q82" i="56"/>
  <c r="P81" i="56"/>
  <c r="O30" i="56"/>
  <c r="P69" i="56"/>
  <c r="Q22" i="56"/>
  <c r="Q80" i="56"/>
  <c r="Q83" i="56"/>
  <c r="Q42" i="56"/>
  <c r="O14" i="56"/>
  <c r="P46" i="56"/>
  <c r="O27" i="56"/>
  <c r="O55" i="56"/>
  <c r="Q76" i="56"/>
  <c r="Q77" i="56"/>
  <c r="O79" i="56"/>
  <c r="Q35" i="56"/>
  <c r="O54" i="56"/>
  <c r="P49" i="56"/>
  <c r="Q64" i="56"/>
  <c r="O31" i="56"/>
  <c r="Q16" i="56"/>
  <c r="O48" i="56"/>
  <c r="Q73" i="56"/>
  <c r="Q19" i="56"/>
  <c r="Q30" i="56"/>
  <c r="P40" i="56"/>
  <c r="O41" i="56"/>
  <c r="P50" i="56"/>
  <c r="O28" i="56"/>
  <c r="P52" i="56"/>
  <c r="Q68" i="56"/>
  <c r="O38" i="56"/>
  <c r="P59" i="56"/>
  <c r="P21" i="56"/>
  <c r="O13" i="56"/>
  <c r="P32" i="56"/>
  <c r="O46" i="56"/>
  <c r="Q78" i="56"/>
  <c r="P13" i="56"/>
  <c r="Q20" i="56"/>
  <c r="O33" i="56"/>
  <c r="Q28" i="56"/>
  <c r="P71" i="56"/>
  <c r="Q71" i="56"/>
  <c r="P83" i="56"/>
  <c r="O29" i="56"/>
  <c r="Q38" i="56"/>
  <c r="O76" i="56"/>
  <c r="Q56" i="56"/>
  <c r="P37" i="56"/>
  <c r="Q70" i="56"/>
  <c r="O15" i="56"/>
  <c r="P42" i="56"/>
  <c r="P30" i="56"/>
  <c r="Q81" i="56"/>
  <c r="O24" i="56"/>
  <c r="Q25" i="56"/>
  <c r="O57" i="56"/>
  <c r="Q12" i="56"/>
  <c r="O78" i="56"/>
  <c r="P73" i="56"/>
  <c r="Q74" i="56"/>
  <c r="P64" i="56"/>
  <c r="P22" i="56"/>
  <c r="P29" i="56"/>
  <c r="Q50" i="56"/>
  <c r="O56" i="56"/>
  <c r="P34" i="56"/>
  <c r="P27" i="56"/>
  <c r="Q37" i="56"/>
  <c r="P45" i="56"/>
  <c r="O44" i="56"/>
  <c r="O58" i="56"/>
  <c r="Q43" i="56"/>
  <c r="O23" i="56"/>
  <c r="O37" i="56"/>
  <c r="CC12" i="42"/>
  <c r="BU14" i="42"/>
  <c r="CC21" i="42"/>
  <c r="Q7" i="32"/>
  <c r="O30" i="16"/>
  <c r="E11" i="7"/>
  <c r="P79" i="32"/>
  <c r="O31" i="32"/>
  <c r="O64" i="32"/>
  <c r="O17" i="32"/>
  <c r="Q72" i="32"/>
  <c r="O61" i="32"/>
  <c r="Q81" i="32"/>
  <c r="Q31" i="32"/>
  <c r="O63" i="32"/>
  <c r="P22" i="32"/>
  <c r="Q50" i="32"/>
  <c r="Q19" i="32"/>
  <c r="AG19" i="42"/>
  <c r="Z15" i="42"/>
  <c r="Z23" i="42" s="1"/>
  <c r="K23" i="2"/>
  <c r="O15" i="16"/>
  <c r="S14" i="42"/>
  <c r="AQ17" i="42" l="1"/>
  <c r="BD12" i="42"/>
  <c r="BL12" i="42"/>
  <c r="BT12" i="42" s="1"/>
  <c r="AV12" i="42"/>
  <c r="BC19" i="42"/>
  <c r="AU17" i="42"/>
  <c r="BC18" i="42"/>
  <c r="AQ19" i="42"/>
  <c r="AY17" i="42"/>
  <c r="BC17" i="42"/>
  <c r="AZ15" i="42"/>
  <c r="AZ12" i="42"/>
  <c r="AN15" i="42"/>
  <c r="N18" i="42"/>
  <c r="V18" i="42"/>
  <c r="V23" i="42" s="1"/>
  <c r="R18" i="42"/>
  <c r="R23" i="42" s="1"/>
  <c r="C14" i="14"/>
  <c r="G8" i="63"/>
  <c r="Q8" i="63"/>
  <c r="H11" i="1"/>
  <c r="D60" i="18"/>
  <c r="AR19" i="42"/>
  <c r="B23" i="40"/>
  <c r="B17" i="40" s="1"/>
  <c r="B38" i="19"/>
  <c r="R19" i="32"/>
  <c r="R20" i="32" s="1"/>
  <c r="R21" i="32" s="1"/>
  <c r="R22" i="32" s="1"/>
  <c r="R23" i="32" s="1"/>
  <c r="P5" i="32"/>
  <c r="N23" i="42"/>
  <c r="AR13" i="42"/>
  <c r="AY16" i="42"/>
  <c r="Z13" i="42"/>
  <c r="V13" i="42"/>
  <c r="V12" i="42"/>
  <c r="N12" i="42"/>
  <c r="Z12" i="42"/>
  <c r="AU11" i="42"/>
  <c r="R11" i="42"/>
  <c r="R14" i="42" s="1"/>
  <c r="N11" i="42"/>
  <c r="Z11" i="42"/>
  <c r="AY11" i="42"/>
  <c r="V11" i="42"/>
  <c r="T8" i="63"/>
  <c r="J8" i="63"/>
  <c r="H10" i="52"/>
  <c r="K15" i="6"/>
  <c r="F5" i="19"/>
  <c r="G7" i="18" s="1"/>
  <c r="K15" i="52"/>
  <c r="K7" i="5"/>
  <c r="E5" i="20"/>
  <c r="E13" i="20" s="1"/>
  <c r="E18" i="20" s="1"/>
  <c r="B21" i="9"/>
  <c r="B21" i="6"/>
  <c r="F55" i="19"/>
  <c r="Y5" i="16"/>
  <c r="H10" i="9"/>
  <c r="J7" i="5"/>
  <c r="H10" i="6"/>
  <c r="L15" i="9"/>
  <c r="A3" i="34" s="1"/>
  <c r="AL58" i="4"/>
  <c r="AL8" i="4" s="1"/>
  <c r="Y5" i="14"/>
  <c r="G103" i="4"/>
  <c r="Q6" i="2"/>
  <c r="AL59" i="4"/>
  <c r="AB4" i="12"/>
  <c r="B21" i="52"/>
  <c r="D8" i="63"/>
  <c r="I11" i="1"/>
  <c r="J15" i="6"/>
  <c r="B9" i="9"/>
  <c r="J15" i="52"/>
  <c r="H9" i="6"/>
  <c r="I4" i="12"/>
  <c r="E103" i="4"/>
  <c r="H5" i="14"/>
  <c r="D5" i="19"/>
  <c r="D55" i="19"/>
  <c r="AA58" i="4"/>
  <c r="AA8" i="4" s="1"/>
  <c r="I7" i="5"/>
  <c r="H5" i="16"/>
  <c r="H9" i="9"/>
  <c r="AA59" i="4"/>
  <c r="B9" i="6"/>
  <c r="H9" i="52"/>
  <c r="D5" i="20"/>
  <c r="B5" i="19"/>
  <c r="E8" i="64" s="1"/>
  <c r="H7" i="5"/>
  <c r="K15" i="9"/>
  <c r="A3" i="33" s="1"/>
  <c r="P6" i="2"/>
  <c r="G11" i="1"/>
  <c r="B9" i="52"/>
  <c r="C38" i="42"/>
  <c r="AD4" i="61"/>
  <c r="AD22" i="61" s="1"/>
  <c r="I8" i="64"/>
  <c r="I21" i="18"/>
  <c r="M43" i="18"/>
  <c r="BB66" i="4"/>
  <c r="BC63" i="4" s="1"/>
  <c r="AM65" i="4"/>
  <c r="AY66" i="4"/>
  <c r="AZ60" i="4" s="1"/>
  <c r="O46" i="4"/>
  <c r="I6" i="37"/>
  <c r="Q76" i="37" s="1"/>
  <c r="L17" i="9"/>
  <c r="I6" i="34" s="1"/>
  <c r="AV66" i="4"/>
  <c r="AW63" i="4" s="1"/>
  <c r="D12" i="33"/>
  <c r="K12" i="33" s="1"/>
  <c r="G11" i="5"/>
  <c r="F11" i="5" s="1"/>
  <c r="O83" i="55"/>
  <c r="AM64" i="4"/>
  <c r="D12" i="55"/>
  <c r="E12" i="55" s="1"/>
  <c r="O45" i="24"/>
  <c r="O40" i="24"/>
  <c r="P61" i="24"/>
  <c r="O27" i="24"/>
  <c r="Q24" i="24"/>
  <c r="Q34" i="24"/>
  <c r="Q37" i="24"/>
  <c r="Q19" i="24"/>
  <c r="Q83" i="35"/>
  <c r="F27" i="19"/>
  <c r="H27" i="19" s="1"/>
  <c r="P72" i="24"/>
  <c r="P33" i="24"/>
  <c r="R5" i="24"/>
  <c r="P46" i="24"/>
  <c r="Q81" i="24"/>
  <c r="O71" i="24"/>
  <c r="R3" i="24"/>
  <c r="R8" i="24"/>
  <c r="Q73" i="24"/>
  <c r="Q48" i="24"/>
  <c r="O20" i="55"/>
  <c r="Q16" i="55"/>
  <c r="P23" i="55"/>
  <c r="AM63" i="4"/>
  <c r="G12" i="37"/>
  <c r="G24" i="37" s="1"/>
  <c r="G36" i="37" s="1"/>
  <c r="G48" i="37" s="1"/>
  <c r="G60" i="37" s="1"/>
  <c r="AA66" i="4"/>
  <c r="AB64" i="4" s="1"/>
  <c r="P24" i="35"/>
  <c r="O68" i="24"/>
  <c r="O80" i="24"/>
  <c r="O65" i="24"/>
  <c r="Q58" i="24"/>
  <c r="P56" i="24"/>
  <c r="Q45" i="24"/>
  <c r="R6" i="24"/>
  <c r="Q65" i="35"/>
  <c r="Q66" i="24"/>
  <c r="P20" i="24"/>
  <c r="Q43" i="24"/>
  <c r="Q16" i="24"/>
  <c r="Q49" i="24"/>
  <c r="P37" i="24"/>
  <c r="P32" i="24"/>
  <c r="P26" i="24"/>
  <c r="Q23" i="24"/>
  <c r="Q22" i="35"/>
  <c r="P30" i="35"/>
  <c r="Q24" i="54"/>
  <c r="O11" i="8"/>
  <c r="O44" i="35"/>
  <c r="P49" i="35"/>
  <c r="Q16" i="54"/>
  <c r="P75" i="8"/>
  <c r="P34" i="35"/>
  <c r="Q28" i="35"/>
  <c r="P47" i="35"/>
  <c r="Q44" i="35"/>
  <c r="O72" i="54"/>
  <c r="O29" i="35"/>
  <c r="Q68" i="35"/>
  <c r="O67" i="35"/>
  <c r="O56" i="35"/>
  <c r="O17" i="35"/>
  <c r="P80" i="35"/>
  <c r="P45" i="35"/>
  <c r="Q13" i="35"/>
  <c r="Q24" i="35"/>
  <c r="P57" i="35"/>
  <c r="Q82" i="35"/>
  <c r="P48" i="35"/>
  <c r="O80" i="35"/>
  <c r="O35" i="35"/>
  <c r="O36" i="35"/>
  <c r="P40" i="35"/>
  <c r="O60" i="35"/>
  <c r="Q39" i="35"/>
  <c r="P69" i="35"/>
  <c r="P26" i="35"/>
  <c r="O74" i="35"/>
  <c r="Q12" i="35"/>
  <c r="O28" i="35"/>
  <c r="O12" i="35"/>
  <c r="P78" i="35"/>
  <c r="O19" i="35"/>
  <c r="Q13" i="24"/>
  <c r="O12" i="24"/>
  <c r="O64" i="24"/>
  <c r="P74" i="24"/>
  <c r="P19" i="24"/>
  <c r="O32" i="24"/>
  <c r="O23" i="35"/>
  <c r="O41" i="24"/>
  <c r="P48" i="24"/>
  <c r="Q72" i="24"/>
  <c r="Q15" i="24"/>
  <c r="Q63" i="24"/>
  <c r="P41" i="35"/>
  <c r="Q64" i="35"/>
  <c r="P64" i="35"/>
  <c r="O52" i="35"/>
  <c r="Q15" i="35"/>
  <c r="O40" i="35"/>
  <c r="R5" i="35"/>
  <c r="O20" i="35"/>
  <c r="P59" i="35"/>
  <c r="P29" i="35"/>
  <c r="P28" i="35"/>
  <c r="I6" i="53"/>
  <c r="Q54" i="24"/>
  <c r="Q76" i="24"/>
  <c r="Q21" i="24"/>
  <c r="Q76" i="35"/>
  <c r="Q28" i="24"/>
  <c r="O59" i="24"/>
  <c r="O74" i="24"/>
  <c r="O36" i="24"/>
  <c r="O22" i="24"/>
  <c r="P27" i="35"/>
  <c r="O30" i="24"/>
  <c r="P12" i="24"/>
  <c r="P78" i="24"/>
  <c r="Q35" i="24"/>
  <c r="P29" i="24"/>
  <c r="Q27" i="24"/>
  <c r="G15" i="5"/>
  <c r="F15" i="5" s="1"/>
  <c r="P52" i="35"/>
  <c r="Q61" i="35"/>
  <c r="R3" i="35"/>
  <c r="O49" i="35"/>
  <c r="Q55" i="35"/>
  <c r="Q27" i="35"/>
  <c r="O46" i="35"/>
  <c r="Q48" i="35"/>
  <c r="Q70" i="35"/>
  <c r="O73" i="35"/>
  <c r="O42" i="35"/>
  <c r="O33" i="35"/>
  <c r="O22" i="35"/>
  <c r="Q57" i="35"/>
  <c r="P65" i="35"/>
  <c r="O58" i="35"/>
  <c r="O16" i="35"/>
  <c r="O57" i="35"/>
  <c r="O31" i="35"/>
  <c r="O77" i="35"/>
  <c r="O64" i="35"/>
  <c r="Q31" i="35"/>
  <c r="P53" i="35"/>
  <c r="O39" i="35"/>
  <c r="P33" i="35"/>
  <c r="P73" i="35"/>
  <c r="Q17" i="35"/>
  <c r="P56" i="35"/>
  <c r="P75" i="35"/>
  <c r="P31" i="35"/>
  <c r="O47" i="35"/>
  <c r="P16" i="35"/>
  <c r="O76" i="35"/>
  <c r="O27" i="35"/>
  <c r="Q74" i="35"/>
  <c r="P35" i="35"/>
  <c r="Q66" i="35"/>
  <c r="P37" i="35"/>
  <c r="P44" i="35"/>
  <c r="Q53" i="35"/>
  <c r="Q59" i="35"/>
  <c r="B28" i="19"/>
  <c r="D18" i="63" s="1"/>
  <c r="Q67" i="35"/>
  <c r="R7" i="35"/>
  <c r="Q54" i="35"/>
  <c r="B11" i="22"/>
  <c r="I11" i="22" s="1"/>
  <c r="Q32" i="35"/>
  <c r="Q49" i="35"/>
  <c r="P43" i="35"/>
  <c r="Q50" i="35"/>
  <c r="O48" i="35"/>
  <c r="O38" i="35"/>
  <c r="P70" i="35"/>
  <c r="P32" i="35"/>
  <c r="P74" i="35"/>
  <c r="O71" i="35"/>
  <c r="O59" i="35"/>
  <c r="P58" i="35"/>
  <c r="P60" i="35"/>
  <c r="Q20" i="35"/>
  <c r="Q36" i="35"/>
  <c r="Q78" i="35"/>
  <c r="Q33" i="35"/>
  <c r="Q16" i="35"/>
  <c r="O70" i="35"/>
  <c r="P67" i="35"/>
  <c r="Q58" i="35"/>
  <c r="Q18" i="35"/>
  <c r="O43" i="35"/>
  <c r="P17" i="35"/>
  <c r="P18" i="35"/>
  <c r="O83" i="35"/>
  <c r="O32" i="35"/>
  <c r="Q52" i="35"/>
  <c r="P51" i="35"/>
  <c r="Q25" i="35"/>
  <c r="P50" i="35"/>
  <c r="Q47" i="35"/>
  <c r="P82" i="35"/>
  <c r="P22" i="35"/>
  <c r="O14" i="35"/>
  <c r="R6" i="35"/>
  <c r="P12" i="35"/>
  <c r="P25" i="35"/>
  <c r="P62" i="35"/>
  <c r="O61" i="35"/>
  <c r="O82" i="35"/>
  <c r="Q75" i="35"/>
  <c r="P39" i="35"/>
  <c r="P15" i="35"/>
  <c r="P79" i="35"/>
  <c r="Q77" i="35"/>
  <c r="P19" i="35"/>
  <c r="P23" i="35"/>
  <c r="B11" i="24"/>
  <c r="I11" i="24" s="1"/>
  <c r="P54" i="35"/>
  <c r="Q26" i="35"/>
  <c r="Q71" i="35"/>
  <c r="Q42" i="35"/>
  <c r="Q19" i="35"/>
  <c r="O66" i="35"/>
  <c r="P61" i="35"/>
  <c r="O45" i="35"/>
  <c r="O25" i="35"/>
  <c r="Q37" i="35"/>
  <c r="O50" i="35"/>
  <c r="P38" i="35"/>
  <c r="O41" i="35"/>
  <c r="P46" i="35"/>
  <c r="O55" i="35"/>
  <c r="P42" i="35"/>
  <c r="Q35" i="35"/>
  <c r="O37" i="35"/>
  <c r="Q38" i="35"/>
  <c r="P14" i="35"/>
  <c r="P71" i="35"/>
  <c r="Q29" i="35"/>
  <c r="Q60" i="35"/>
  <c r="Q62" i="35"/>
  <c r="Q81" i="35"/>
  <c r="Q63" i="35"/>
  <c r="Q34" i="35"/>
  <c r="P36" i="35"/>
  <c r="O79" i="35"/>
  <c r="Q72" i="35"/>
  <c r="O34" i="35"/>
  <c r="Q43" i="35"/>
  <c r="O72" i="35"/>
  <c r="O24" i="35"/>
  <c r="O63" i="35"/>
  <c r="Q56" i="35"/>
  <c r="O78" i="35"/>
  <c r="Q69" i="35"/>
  <c r="O54" i="35"/>
  <c r="P81" i="35"/>
  <c r="P76" i="35"/>
  <c r="Q45" i="35"/>
  <c r="Q41" i="35"/>
  <c r="P66" i="35"/>
  <c r="O18" i="35"/>
  <c r="P63" i="35"/>
  <c r="B5" i="35"/>
  <c r="G12" i="35" s="1"/>
  <c r="G24" i="35" s="1"/>
  <c r="G36" i="35" s="1"/>
  <c r="G48" i="35" s="1"/>
  <c r="G60" i="35" s="1"/>
  <c r="O75" i="35"/>
  <c r="P21" i="35"/>
  <c r="Q30" i="35"/>
  <c r="P20" i="35"/>
  <c r="P68" i="35"/>
  <c r="Q46" i="35"/>
  <c r="O26" i="35"/>
  <c r="O77" i="55"/>
  <c r="O13" i="55"/>
  <c r="Q31" i="55"/>
  <c r="O79" i="55"/>
  <c r="O55" i="55"/>
  <c r="P41" i="55"/>
  <c r="O15" i="55"/>
  <c r="Q35" i="55"/>
  <c r="P13" i="55"/>
  <c r="P14" i="55"/>
  <c r="P17" i="55"/>
  <c r="O35" i="55"/>
  <c r="O73" i="55"/>
  <c r="G11" i="8"/>
  <c r="G23" i="8" s="1"/>
  <c r="G35" i="8" s="1"/>
  <c r="G47" i="8" s="1"/>
  <c r="G59" i="8" s="1"/>
  <c r="O31" i="55"/>
  <c r="P15" i="55"/>
  <c r="P77" i="55"/>
  <c r="Q22" i="55"/>
  <c r="P25" i="55"/>
  <c r="O71" i="55"/>
  <c r="R3" i="55"/>
  <c r="O37" i="55"/>
  <c r="Q25" i="55"/>
  <c r="Q47" i="55"/>
  <c r="P16" i="55"/>
  <c r="Q65" i="55"/>
  <c r="O59" i="55"/>
  <c r="O14" i="55"/>
  <c r="O53" i="55"/>
  <c r="P67" i="55"/>
  <c r="O47" i="55"/>
  <c r="P43" i="55"/>
  <c r="P73" i="55"/>
  <c r="Q41" i="55"/>
  <c r="Q37" i="55"/>
  <c r="Q73" i="55"/>
  <c r="Q13" i="55"/>
  <c r="P53" i="55"/>
  <c r="Q53" i="55"/>
  <c r="P55" i="55"/>
  <c r="P19" i="55"/>
  <c r="P61" i="55"/>
  <c r="O18" i="55"/>
  <c r="P12" i="55"/>
  <c r="Q67" i="55"/>
  <c r="O67" i="55"/>
  <c r="P59" i="55"/>
  <c r="O22" i="55"/>
  <c r="Q29" i="55"/>
  <c r="O21" i="55"/>
  <c r="P49" i="55"/>
  <c r="O17" i="55"/>
  <c r="Q83" i="55"/>
  <c r="O24" i="55"/>
  <c r="O41" i="55"/>
  <c r="P31" i="55"/>
  <c r="O16" i="55"/>
  <c r="P35" i="55"/>
  <c r="O49" i="55"/>
  <c r="Q19" i="55"/>
  <c r="Q15" i="55"/>
  <c r="Q61" i="55"/>
  <c r="O43" i="55"/>
  <c r="Q17" i="55"/>
  <c r="O23" i="55"/>
  <c r="Q59" i="55"/>
  <c r="Q43" i="55"/>
  <c r="P71" i="55"/>
  <c r="P18" i="55"/>
  <c r="O61" i="55"/>
  <c r="Q55" i="55"/>
  <c r="O65" i="55"/>
  <c r="P22" i="55"/>
  <c r="P83" i="55"/>
  <c r="O12" i="55"/>
  <c r="Q20" i="55"/>
  <c r="Q71" i="55"/>
  <c r="P29" i="55"/>
  <c r="Q23" i="55"/>
  <c r="P21" i="55"/>
  <c r="P65" i="55"/>
  <c r="O25" i="55"/>
  <c r="P79" i="55"/>
  <c r="P37" i="55"/>
  <c r="Q18" i="55"/>
  <c r="Q21" i="55"/>
  <c r="Q77" i="55"/>
  <c r="Q79" i="55"/>
  <c r="O19" i="55"/>
  <c r="P47" i="55"/>
  <c r="P20" i="55"/>
  <c r="O29" i="55"/>
  <c r="Q14" i="55"/>
  <c r="Q49" i="55"/>
  <c r="Q12" i="55"/>
  <c r="O34" i="54"/>
  <c r="D12" i="48"/>
  <c r="K12" i="48" s="1"/>
  <c r="Q12" i="48" s="1"/>
  <c r="R12" i="48" s="1"/>
  <c r="O15" i="24"/>
  <c r="Q69" i="24"/>
  <c r="P70" i="24"/>
  <c r="P57" i="24"/>
  <c r="P15" i="24"/>
  <c r="O49" i="24"/>
  <c r="Q61" i="24"/>
  <c r="P68" i="24"/>
  <c r="O48" i="24"/>
  <c r="Q36" i="24"/>
  <c r="Q32" i="24"/>
  <c r="P82" i="24"/>
  <c r="P73" i="24"/>
  <c r="O50" i="24"/>
  <c r="O55" i="24"/>
  <c r="P60" i="24"/>
  <c r="P23" i="24"/>
  <c r="P52" i="24"/>
  <c r="O37" i="24"/>
  <c r="O81" i="24"/>
  <c r="Q14" i="35"/>
  <c r="R8" i="35"/>
  <c r="O21" i="35"/>
  <c r="Q68" i="24"/>
  <c r="P35" i="24"/>
  <c r="O43" i="24"/>
  <c r="P34" i="24"/>
  <c r="O77" i="24"/>
  <c r="Q75" i="24"/>
  <c r="P47" i="24"/>
  <c r="O38" i="24"/>
  <c r="Q22" i="24"/>
  <c r="Q29" i="24"/>
  <c r="Q18" i="24"/>
  <c r="O69" i="35"/>
  <c r="O68" i="35"/>
  <c r="R4" i="35"/>
  <c r="P51" i="24"/>
  <c r="Q65" i="24"/>
  <c r="O31" i="24"/>
  <c r="O26" i="24"/>
  <c r="P42" i="24"/>
  <c r="O58" i="24"/>
  <c r="P79" i="24"/>
  <c r="O62" i="24"/>
  <c r="O20" i="24"/>
  <c r="Q79" i="24"/>
  <c r="P80" i="24"/>
  <c r="R4" i="24"/>
  <c r="P55" i="35"/>
  <c r="Q79" i="35"/>
  <c r="O81" i="35"/>
  <c r="O56" i="24"/>
  <c r="P30" i="24"/>
  <c r="Q55" i="24"/>
  <c r="Q38" i="24"/>
  <c r="P67" i="24"/>
  <c r="P44" i="24"/>
  <c r="Q46" i="24"/>
  <c r="Q71" i="24"/>
  <c r="Q40" i="35"/>
  <c r="O13" i="24"/>
  <c r="O54" i="24"/>
  <c r="Q73" i="35"/>
  <c r="I6" i="33"/>
  <c r="Q38" i="54"/>
  <c r="B11" i="23"/>
  <c r="I11" i="23" s="1"/>
  <c r="Q44" i="24"/>
  <c r="Q77" i="24"/>
  <c r="O78" i="24"/>
  <c r="O69" i="24"/>
  <c r="P53" i="24"/>
  <c r="O25" i="24"/>
  <c r="P65" i="24"/>
  <c r="P41" i="24"/>
  <c r="P75" i="24"/>
  <c r="O60" i="24"/>
  <c r="Q33" i="24"/>
  <c r="Q11" i="24"/>
  <c r="O23" i="24"/>
  <c r="P28" i="24"/>
  <c r="O34" i="24"/>
  <c r="O35" i="24"/>
  <c r="O72" i="24"/>
  <c r="P66" i="24"/>
  <c r="O14" i="24"/>
  <c r="Q17" i="24"/>
  <c r="P22" i="24"/>
  <c r="Q51" i="35"/>
  <c r="P13" i="35"/>
  <c r="Q23" i="35"/>
  <c r="O70" i="24"/>
  <c r="P77" i="24"/>
  <c r="O63" i="24"/>
  <c r="P50" i="24"/>
  <c r="Q12" i="24"/>
  <c r="P36" i="24"/>
  <c r="O44" i="24"/>
  <c r="O11" i="24"/>
  <c r="Q53" i="24"/>
  <c r="Q60" i="24"/>
  <c r="O18" i="24"/>
  <c r="O53" i="35"/>
  <c r="O65" i="35"/>
  <c r="O13" i="35"/>
  <c r="O61" i="24"/>
  <c r="O39" i="24"/>
  <c r="P25" i="24"/>
  <c r="O66" i="24"/>
  <c r="Q62" i="24"/>
  <c r="P31" i="24"/>
  <c r="Q59" i="24"/>
  <c r="Q50" i="24"/>
  <c r="P49" i="24"/>
  <c r="Q47" i="24"/>
  <c r="Q39" i="24"/>
  <c r="P21" i="24"/>
  <c r="P77" i="35"/>
  <c r="O51" i="35"/>
  <c r="P63" i="24"/>
  <c r="Q56" i="24"/>
  <c r="O53" i="24"/>
  <c r="P55" i="24"/>
  <c r="O42" i="24"/>
  <c r="O73" i="24"/>
  <c r="O79" i="24"/>
  <c r="O33" i="24"/>
  <c r="O47" i="24"/>
  <c r="Q20" i="24"/>
  <c r="P76" i="24"/>
  <c r="Q82" i="24"/>
  <c r="O67" i="24"/>
  <c r="P14" i="24"/>
  <c r="O16" i="24"/>
  <c r="P54" i="24"/>
  <c r="O52" i="24"/>
  <c r="P69" i="24"/>
  <c r="P81" i="24"/>
  <c r="O76" i="24"/>
  <c r="O28" i="24"/>
  <c r="P13" i="24"/>
  <c r="P11" i="24"/>
  <c r="P38" i="24"/>
  <c r="P58" i="24"/>
  <c r="Q30" i="24"/>
  <c r="O19" i="24"/>
  <c r="P17" i="24"/>
  <c r="Q70" i="24"/>
  <c r="O57" i="24"/>
  <c r="Q52" i="24"/>
  <c r="Q26" i="24"/>
  <c r="P45" i="24"/>
  <c r="Q74" i="24"/>
  <c r="Q78" i="24"/>
  <c r="O46" i="24"/>
  <c r="Q80" i="24"/>
  <c r="O24" i="24"/>
  <c r="O29" i="24"/>
  <c r="P27" i="24"/>
  <c r="Q40" i="24"/>
  <c r="P71" i="24"/>
  <c r="Q57" i="24"/>
  <c r="P64" i="24"/>
  <c r="O21" i="24"/>
  <c r="Q41" i="24"/>
  <c r="P43" i="24"/>
  <c r="Q51" i="24"/>
  <c r="Q67" i="24"/>
  <c r="P59" i="24"/>
  <c r="Q42" i="24"/>
  <c r="P16" i="24"/>
  <c r="R7" i="24"/>
  <c r="O82" i="24"/>
  <c r="P62" i="24"/>
  <c r="O17" i="24"/>
  <c r="P40" i="24"/>
  <c r="P18" i="24"/>
  <c r="O75" i="24"/>
  <c r="P39" i="24"/>
  <c r="Q64" i="24"/>
  <c r="Q31" i="24"/>
  <c r="O51" i="24"/>
  <c r="Q14" i="24"/>
  <c r="Q25" i="24"/>
  <c r="AL67" i="4"/>
  <c r="AM60" i="4"/>
  <c r="AM62" i="4"/>
  <c r="AM61" i="4"/>
  <c r="I12" i="54"/>
  <c r="O12" i="48"/>
  <c r="P72" i="35"/>
  <c r="P83" i="35"/>
  <c r="O62" i="35"/>
  <c r="Q21" i="35"/>
  <c r="O15" i="35"/>
  <c r="Q80" i="35"/>
  <c r="D23" i="19"/>
  <c r="E12" i="5"/>
  <c r="H12" i="5" s="1"/>
  <c r="P29" i="54"/>
  <c r="O22" i="54"/>
  <c r="O46" i="54"/>
  <c r="P15" i="54"/>
  <c r="O38" i="54"/>
  <c r="O73" i="54"/>
  <c r="O71" i="54"/>
  <c r="P55" i="54"/>
  <c r="O30" i="54"/>
  <c r="Q25" i="54"/>
  <c r="P17" i="8"/>
  <c r="Q28" i="8"/>
  <c r="P64" i="54"/>
  <c r="O61" i="54"/>
  <c r="P59" i="54"/>
  <c r="O66" i="54"/>
  <c r="Q33" i="37"/>
  <c r="D111" i="4"/>
  <c r="E111" i="4" s="1"/>
  <c r="G111" i="4" s="1"/>
  <c r="E23" i="5"/>
  <c r="H23" i="5" s="1"/>
  <c r="G13" i="5"/>
  <c r="F13" i="5" s="1"/>
  <c r="R4" i="8"/>
  <c r="O14" i="8"/>
  <c r="R3" i="8"/>
  <c r="Q17" i="8"/>
  <c r="P23" i="8"/>
  <c r="Q70" i="8"/>
  <c r="Q55" i="8"/>
  <c r="P68" i="8"/>
  <c r="Q11" i="8"/>
  <c r="O41" i="8"/>
  <c r="O52" i="8"/>
  <c r="O69" i="8"/>
  <c r="Q65" i="8"/>
  <c r="P71" i="8"/>
  <c r="O21" i="8"/>
  <c r="P39" i="8"/>
  <c r="P53" i="8"/>
  <c r="Q60" i="8"/>
  <c r="O22" i="8"/>
  <c r="P77" i="8"/>
  <c r="P48" i="8"/>
  <c r="Q36" i="8"/>
  <c r="O48" i="8"/>
  <c r="Q74" i="8"/>
  <c r="O65" i="8"/>
  <c r="P56" i="8"/>
  <c r="P76" i="8"/>
  <c r="Q63" i="8"/>
  <c r="O35" i="8"/>
  <c r="O82" i="8"/>
  <c r="O77" i="8"/>
  <c r="O20" i="8"/>
  <c r="P38" i="8"/>
  <c r="O13" i="8"/>
  <c r="O63" i="8"/>
  <c r="Q39" i="8"/>
  <c r="Q40" i="8"/>
  <c r="O79" i="8"/>
  <c r="Q52" i="54"/>
  <c r="O83" i="54"/>
  <c r="P83" i="54"/>
  <c r="O56" i="54"/>
  <c r="Q55" i="54"/>
  <c r="O21" i="54"/>
  <c r="Q36" i="54"/>
  <c r="O48" i="54"/>
  <c r="P53" i="54"/>
  <c r="P19" i="54"/>
  <c r="Q79" i="54"/>
  <c r="P35" i="54"/>
  <c r="O45" i="54"/>
  <c r="Q77" i="54"/>
  <c r="Q57" i="54"/>
  <c r="Q18" i="54"/>
  <c r="Q12" i="54"/>
  <c r="Q62" i="54"/>
  <c r="R8" i="54"/>
  <c r="O26" i="54"/>
  <c r="Q14" i="54"/>
  <c r="O20" i="54"/>
  <c r="R6" i="54"/>
  <c r="Q50" i="54"/>
  <c r="Q63" i="54"/>
  <c r="P56" i="54"/>
  <c r="O54" i="54"/>
  <c r="Q81" i="54"/>
  <c r="P42" i="54"/>
  <c r="Q32" i="54"/>
  <c r="P79" i="54"/>
  <c r="P67" i="54"/>
  <c r="Q15" i="54"/>
  <c r="O33" i="54"/>
  <c r="P18" i="54"/>
  <c r="P66" i="54"/>
  <c r="O60" i="54"/>
  <c r="O44" i="54"/>
  <c r="Q37" i="54"/>
  <c r="P58" i="54"/>
  <c r="D12" i="19"/>
  <c r="P76" i="54"/>
  <c r="Q17" i="54"/>
  <c r="O43" i="54"/>
  <c r="O49" i="54"/>
  <c r="P22" i="54"/>
  <c r="Q82" i="54"/>
  <c r="O51" i="54"/>
  <c r="Q45" i="54"/>
  <c r="P24" i="54"/>
  <c r="O75" i="54"/>
  <c r="P14" i="8"/>
  <c r="R5" i="8"/>
  <c r="O53" i="8"/>
  <c r="P33" i="8"/>
  <c r="Q52" i="8"/>
  <c r="Q41" i="54"/>
  <c r="P34" i="54"/>
  <c r="O80" i="54"/>
  <c r="O65" i="54"/>
  <c r="O59" i="54"/>
  <c r="P68" i="54"/>
  <c r="P60" i="54"/>
  <c r="O25" i="54"/>
  <c r="P69" i="54"/>
  <c r="O63" i="54"/>
  <c r="Q77" i="8"/>
  <c r="Q24" i="8"/>
  <c r="P37" i="8"/>
  <c r="P80" i="8"/>
  <c r="P24" i="8"/>
  <c r="B16" i="19"/>
  <c r="D114" i="4"/>
  <c r="O17" i="8"/>
  <c r="O29" i="8"/>
  <c r="Q27" i="8"/>
  <c r="Q43" i="8"/>
  <c r="P42" i="8"/>
  <c r="E67" i="18"/>
  <c r="D24" i="19" s="1"/>
  <c r="E16" i="5"/>
  <c r="H16" i="5" s="1"/>
  <c r="D12" i="37"/>
  <c r="I12" i="37"/>
  <c r="O8" i="23"/>
  <c r="Q6" i="22"/>
  <c r="P5" i="22"/>
  <c r="Q3" i="23"/>
  <c r="P7" i="22"/>
  <c r="P3" i="23"/>
  <c r="P8" i="23"/>
  <c r="O4" i="23"/>
  <c r="O7" i="23"/>
  <c r="D107" i="4"/>
  <c r="E107" i="4" s="1"/>
  <c r="G107" i="4" s="1"/>
  <c r="H107" i="4" s="1"/>
  <c r="J107" i="4" s="1"/>
  <c r="K107" i="4" s="1"/>
  <c r="I7" i="2"/>
  <c r="O42" i="8"/>
  <c r="Q51" i="8"/>
  <c r="Q35" i="8"/>
  <c r="O43" i="8"/>
  <c r="P78" i="8"/>
  <c r="O59" i="8"/>
  <c r="P26" i="8"/>
  <c r="P50" i="8"/>
  <c r="P74" i="8"/>
  <c r="Q81" i="8"/>
  <c r="P51" i="8"/>
  <c r="R6" i="8"/>
  <c r="O30" i="8"/>
  <c r="O15" i="8"/>
  <c r="P31" i="8"/>
  <c r="P52" i="8"/>
  <c r="P69" i="8"/>
  <c r="Q75" i="8"/>
  <c r="P72" i="8"/>
  <c r="Q45" i="8"/>
  <c r="O25" i="8"/>
  <c r="Q58" i="8"/>
  <c r="O66" i="8"/>
  <c r="P35" i="8"/>
  <c r="P61" i="8"/>
  <c r="O51" i="8"/>
  <c r="P62" i="8"/>
  <c r="O18" i="8"/>
  <c r="O49" i="8"/>
  <c r="Q47" i="8"/>
  <c r="P63" i="8"/>
  <c r="O46" i="8"/>
  <c r="O38" i="8"/>
  <c r="O80" i="8"/>
  <c r="R7" i="8"/>
  <c r="P55" i="8"/>
  <c r="O54" i="8"/>
  <c r="Q62" i="8"/>
  <c r="O37" i="8"/>
  <c r="Q37" i="8"/>
  <c r="O74" i="8"/>
  <c r="O12" i="8"/>
  <c r="R8" i="8"/>
  <c r="O40" i="8"/>
  <c r="O24" i="8"/>
  <c r="Q29" i="8"/>
  <c r="P46" i="8"/>
  <c r="P19" i="8"/>
  <c r="Q14" i="8"/>
  <c r="O50" i="8"/>
  <c r="O76" i="8"/>
  <c r="O44" i="8"/>
  <c r="P15" i="8"/>
  <c r="P66" i="8"/>
  <c r="O55" i="8"/>
  <c r="P25" i="8"/>
  <c r="Q38" i="8"/>
  <c r="P36" i="8"/>
  <c r="P59" i="8"/>
  <c r="O57" i="8"/>
  <c r="P43" i="8"/>
  <c r="Q31" i="8"/>
  <c r="P29" i="8"/>
  <c r="Q22" i="8"/>
  <c r="P79" i="8"/>
  <c r="Q79" i="8"/>
  <c r="Q56" i="8"/>
  <c r="O56" i="8"/>
  <c r="O67" i="8"/>
  <c r="P16" i="8"/>
  <c r="Q69" i="8"/>
  <c r="Q21" i="8"/>
  <c r="Q48" i="8"/>
  <c r="O71" i="8"/>
  <c r="O78" i="8"/>
  <c r="Q33" i="8"/>
  <c r="Q13" i="8"/>
  <c r="P21" i="8"/>
  <c r="Q15" i="8"/>
  <c r="P20" i="8"/>
  <c r="P57" i="8"/>
  <c r="Q78" i="8"/>
  <c r="P54" i="8"/>
  <c r="P73" i="8"/>
  <c r="O58" i="8"/>
  <c r="O32" i="8"/>
  <c r="O27" i="8"/>
  <c r="O45" i="8"/>
  <c r="P18" i="8"/>
  <c r="Q25" i="8"/>
  <c r="Q42" i="8"/>
  <c r="P64" i="8"/>
  <c r="Q41" i="8"/>
  <c r="P30" i="8"/>
  <c r="O68" i="8"/>
  <c r="P28" i="8"/>
  <c r="Q12" i="8"/>
  <c r="O33" i="8"/>
  <c r="P27" i="8"/>
  <c r="O34" i="8"/>
  <c r="Q26" i="8"/>
  <c r="Q23" i="8"/>
  <c r="Q49" i="8"/>
  <c r="Q32" i="8"/>
  <c r="Q67" i="8"/>
  <c r="Q19" i="8"/>
  <c r="O60" i="8"/>
  <c r="Q64" i="8"/>
  <c r="P82" i="8"/>
  <c r="O61" i="8"/>
  <c r="P11" i="8"/>
  <c r="Q80" i="8"/>
  <c r="P47" i="8"/>
  <c r="O36" i="8"/>
  <c r="P22" i="8"/>
  <c r="O70" i="8"/>
  <c r="Q73" i="8"/>
  <c r="Q16" i="8"/>
  <c r="P32" i="8"/>
  <c r="O19" i="8"/>
  <c r="O62" i="8"/>
  <c r="P65" i="8"/>
  <c r="Q66" i="8"/>
  <c r="Q44" i="8"/>
  <c r="O23" i="8"/>
  <c r="P40" i="8"/>
  <c r="Q53" i="8"/>
  <c r="Q20" i="8"/>
  <c r="P60" i="8"/>
  <c r="O26" i="8"/>
  <c r="O64" i="8"/>
  <c r="Q68" i="8"/>
  <c r="O72" i="8"/>
  <c r="Q76" i="8"/>
  <c r="P45" i="8"/>
  <c r="Q71" i="8"/>
  <c r="Q72" i="8"/>
  <c r="O28" i="8"/>
  <c r="O73" i="8"/>
  <c r="P41" i="8"/>
  <c r="Q30" i="8"/>
  <c r="O31" i="8"/>
  <c r="Q34" i="8"/>
  <c r="P13" i="8"/>
  <c r="P44" i="8"/>
  <c r="Q61" i="8"/>
  <c r="O16" i="8"/>
  <c r="P70" i="8"/>
  <c r="O75" i="8"/>
  <c r="O81" i="8"/>
  <c r="O39" i="8"/>
  <c r="Q82" i="8"/>
  <c r="Q50" i="8"/>
  <c r="P49" i="8"/>
  <c r="Q59" i="8"/>
  <c r="Q57" i="8"/>
  <c r="P34" i="8"/>
  <c r="Q18" i="8"/>
  <c r="Q46" i="8"/>
  <c r="P58" i="8"/>
  <c r="P12" i="8"/>
  <c r="P67" i="8"/>
  <c r="O47" i="8"/>
  <c r="P81" i="8"/>
  <c r="O82" i="54"/>
  <c r="Q13" i="54"/>
  <c r="P46" i="54"/>
  <c r="P72" i="54"/>
  <c r="O24" i="54"/>
  <c r="P28" i="54"/>
  <c r="R4" i="54"/>
  <c r="P74" i="54"/>
  <c r="Q33" i="54"/>
  <c r="Q35" i="54"/>
  <c r="Q20" i="54"/>
  <c r="O79" i="54"/>
  <c r="P75" i="54"/>
  <c r="O81" i="54"/>
  <c r="O13" i="54"/>
  <c r="P57" i="54"/>
  <c r="P40" i="54"/>
  <c r="Q68" i="54"/>
  <c r="Q19" i="54"/>
  <c r="Q56" i="54"/>
  <c r="O78" i="54"/>
  <c r="O57" i="54"/>
  <c r="P47" i="54"/>
  <c r="P27" i="54"/>
  <c r="P51" i="54"/>
  <c r="P33" i="54"/>
  <c r="O12" i="54"/>
  <c r="O27" i="54"/>
  <c r="R5" i="54"/>
  <c r="Q75" i="54"/>
  <c r="Q67" i="54"/>
  <c r="P48" i="54"/>
  <c r="O67" i="54"/>
  <c r="O41" i="54"/>
  <c r="Q69" i="54"/>
  <c r="O14" i="54"/>
  <c r="Q59" i="54"/>
  <c r="P20" i="54"/>
  <c r="P12" i="54"/>
  <c r="P30" i="54"/>
  <c r="Q72" i="54"/>
  <c r="P17" i="54"/>
  <c r="O18" i="54"/>
  <c r="P45" i="54"/>
  <c r="Q74" i="54"/>
  <c r="Q54" i="54"/>
  <c r="Q78" i="54"/>
  <c r="Q27" i="54"/>
  <c r="Q39" i="54"/>
  <c r="P39" i="54"/>
  <c r="Q21" i="54"/>
  <c r="O68" i="54"/>
  <c r="Q83" i="54"/>
  <c r="O16" i="54"/>
  <c r="Q44" i="54"/>
  <c r="P65" i="54"/>
  <c r="P23" i="54"/>
  <c r="P41" i="54"/>
  <c r="P16" i="54"/>
  <c r="Q80" i="54"/>
  <c r="P82" i="54"/>
  <c r="O29" i="54"/>
  <c r="P37" i="54"/>
  <c r="P36" i="54"/>
  <c r="O70" i="54"/>
  <c r="O31" i="54"/>
  <c r="R3" i="54"/>
  <c r="Q47" i="54"/>
  <c r="O55" i="54"/>
  <c r="Q64" i="54"/>
  <c r="Q58" i="54"/>
  <c r="Q22" i="54"/>
  <c r="P14" i="54"/>
  <c r="Q66" i="54"/>
  <c r="P32" i="54"/>
  <c r="P71" i="54"/>
  <c r="O39" i="54"/>
  <c r="R7" i="54"/>
  <c r="O32" i="54"/>
  <c r="P77" i="54"/>
  <c r="P73" i="54"/>
  <c r="P54" i="54"/>
  <c r="P49" i="54"/>
  <c r="O62" i="54"/>
  <c r="Q26" i="54"/>
  <c r="P21" i="54"/>
  <c r="O53" i="54"/>
  <c r="O58" i="54"/>
  <c r="P38" i="54"/>
  <c r="P80" i="54"/>
  <c r="O76" i="54"/>
  <c r="Q34" i="54"/>
  <c r="P50" i="54"/>
  <c r="P43" i="54"/>
  <c r="P25" i="54"/>
  <c r="Q48" i="54"/>
  <c r="Q42" i="54"/>
  <c r="Q76" i="54"/>
  <c r="Q30" i="54"/>
  <c r="P63" i="54"/>
  <c r="O40" i="54"/>
  <c r="P62" i="54"/>
  <c r="O23" i="54"/>
  <c r="O64" i="54"/>
  <c r="Q23" i="54"/>
  <c r="O50" i="54"/>
  <c r="O74" i="54"/>
  <c r="P26" i="54"/>
  <c r="Q40" i="54"/>
  <c r="O77" i="54"/>
  <c r="O69" i="54"/>
  <c r="O37" i="54"/>
  <c r="Q53" i="54"/>
  <c r="P44" i="54"/>
  <c r="O17" i="54"/>
  <c r="O19" i="54"/>
  <c r="Q49" i="54"/>
  <c r="O47" i="54"/>
  <c r="Q60" i="54"/>
  <c r="P61" i="54"/>
  <c r="P13" i="54"/>
  <c r="P31" i="54"/>
  <c r="O15" i="54"/>
  <c r="P70" i="54"/>
  <c r="Q29" i="54"/>
  <c r="P52" i="54"/>
  <c r="P81" i="54"/>
  <c r="P78" i="54"/>
  <c r="Q65" i="54"/>
  <c r="Q43" i="54"/>
  <c r="O36" i="54"/>
  <c r="Q46" i="54"/>
  <c r="Q28" i="54"/>
  <c r="Q73" i="54"/>
  <c r="Q61" i="54"/>
  <c r="Q31" i="54"/>
  <c r="Q71" i="54"/>
  <c r="O28" i="54"/>
  <c r="O42" i="54"/>
  <c r="O52" i="54"/>
  <c r="Q51" i="54"/>
  <c r="O35" i="54"/>
  <c r="G21" i="5"/>
  <c r="I21" i="5" s="1"/>
  <c r="O5" i="22"/>
  <c r="G20" i="5"/>
  <c r="P6" i="22"/>
  <c r="O7" i="22"/>
  <c r="D11" i="21"/>
  <c r="I11" i="21"/>
  <c r="O11" i="21" s="1"/>
  <c r="B12" i="56"/>
  <c r="P4" i="22"/>
  <c r="Q7" i="22"/>
  <c r="Q5" i="22"/>
  <c r="P7" i="23"/>
  <c r="G14" i="5"/>
  <c r="F14" i="5" s="1"/>
  <c r="G10" i="5"/>
  <c r="F10" i="5" s="1"/>
  <c r="Q4" i="22"/>
  <c r="Q8" i="22"/>
  <c r="O8" i="22"/>
  <c r="O4" i="22"/>
  <c r="Q3" i="22"/>
  <c r="E17" i="5"/>
  <c r="H17" i="5" s="1"/>
  <c r="B24" i="5"/>
  <c r="Q8" i="23"/>
  <c r="P6" i="23"/>
  <c r="Q6" i="23"/>
  <c r="Q5" i="23"/>
  <c r="Q7" i="23"/>
  <c r="O3" i="22"/>
  <c r="B18" i="5"/>
  <c r="G22" i="5"/>
  <c r="I22" i="5" s="1"/>
  <c r="P22" i="2" s="1"/>
  <c r="D34" i="19"/>
  <c r="F34" i="19" s="1"/>
  <c r="X18" i="14"/>
  <c r="F18" i="14"/>
  <c r="I42" i="18"/>
  <c r="K14" i="14"/>
  <c r="K21" i="16" s="1"/>
  <c r="I14" i="14"/>
  <c r="I21" i="16" s="1"/>
  <c r="AZ11" i="42"/>
  <c r="BN17" i="42"/>
  <c r="E14" i="42"/>
  <c r="U24" i="42"/>
  <c r="AN11" i="42"/>
  <c r="BT15" i="42"/>
  <c r="BV15" i="42" s="1"/>
  <c r="BL13" i="42"/>
  <c r="BT13" i="42" s="1"/>
  <c r="AL14" i="42"/>
  <c r="AV13" i="42"/>
  <c r="AV15" i="42"/>
  <c r="AR15" i="42"/>
  <c r="AN22" i="42"/>
  <c r="AZ19" i="42"/>
  <c r="BD19" i="42"/>
  <c r="BN19" i="42"/>
  <c r="BI14" i="42"/>
  <c r="AV11" i="42"/>
  <c r="BD11" i="42"/>
  <c r="BQ14" i="42"/>
  <c r="BQ19" i="42"/>
  <c r="BT19" i="42" s="1"/>
  <c r="BV19" i="42" s="1"/>
  <c r="AM24" i="42"/>
  <c r="AN19" i="42"/>
  <c r="BQ16" i="42"/>
  <c r="BL15" i="42"/>
  <c r="BN15" i="42" s="1"/>
  <c r="M24" i="42"/>
  <c r="AP14" i="42"/>
  <c r="AV22" i="42"/>
  <c r="AZ22" i="42"/>
  <c r="AN13" i="42"/>
  <c r="BD13" i="42"/>
  <c r="BD10" i="42"/>
  <c r="AZ10" i="42"/>
  <c r="AV10" i="42"/>
  <c r="AN10" i="42"/>
  <c r="AR10" i="42"/>
  <c r="AR14" i="42" s="1"/>
  <c r="AT14" i="42"/>
  <c r="W14" i="14" s="1"/>
  <c r="W21" i="16" s="1"/>
  <c r="E14" i="14"/>
  <c r="E21" i="16" s="1"/>
  <c r="AR22" i="42"/>
  <c r="N14" i="14"/>
  <c r="N21" i="16" s="1"/>
  <c r="L14" i="14"/>
  <c r="L21" i="16" s="1"/>
  <c r="BL18" i="42"/>
  <c r="BN18" i="42" s="1"/>
  <c r="BQ18" i="42"/>
  <c r="BN12" i="42"/>
  <c r="BL22" i="42"/>
  <c r="BN22" i="42" s="1"/>
  <c r="BQ22" i="42"/>
  <c r="W23" i="42"/>
  <c r="W24" i="42" s="1"/>
  <c r="K16" i="14" s="1"/>
  <c r="K24" i="16" s="1"/>
  <c r="O23" i="42"/>
  <c r="O24" i="42" s="1"/>
  <c r="C16" i="14" s="1"/>
  <c r="C24" i="16" s="1"/>
  <c r="AU23" i="42"/>
  <c r="AT23" i="42"/>
  <c r="X15" i="14" s="1"/>
  <c r="X22" i="16" s="1"/>
  <c r="BT17" i="42"/>
  <c r="BV17" i="42" s="1"/>
  <c r="BY17" i="42"/>
  <c r="J6" i="62"/>
  <c r="J18" i="62"/>
  <c r="AC18" i="62" s="1"/>
  <c r="G6" i="62"/>
  <c r="G18" i="62"/>
  <c r="Z18" i="62" s="1"/>
  <c r="O6" i="62"/>
  <c r="O18" i="62"/>
  <c r="AH18" i="62" s="1"/>
  <c r="N6" i="62"/>
  <c r="N18" i="62"/>
  <c r="AG18" i="62" s="1"/>
  <c r="M6" i="62"/>
  <c r="M18" i="62"/>
  <c r="AF18" i="62" s="1"/>
  <c r="F6" i="62"/>
  <c r="F18" i="62"/>
  <c r="Y18" i="62" s="1"/>
  <c r="E6" i="62"/>
  <c r="E18" i="62"/>
  <c r="X18" i="62" s="1"/>
  <c r="H6" i="62"/>
  <c r="H18" i="62"/>
  <c r="AA18" i="62" s="1"/>
  <c r="D6" i="62"/>
  <c r="W6" i="62"/>
  <c r="AA79" i="12"/>
  <c r="AC48" i="61" s="1"/>
  <c r="AC65" i="61" s="1"/>
  <c r="AA6" i="62"/>
  <c r="AB79" i="12"/>
  <c r="AB6" i="62"/>
  <c r="I79" i="12"/>
  <c r="I6" i="62"/>
  <c r="K79" i="12"/>
  <c r="K6" i="62"/>
  <c r="AD46" i="61"/>
  <c r="AB4" i="62"/>
  <c r="AH24" i="61"/>
  <c r="AF79" i="12"/>
  <c r="AA9" i="14"/>
  <c r="AA11" i="16" s="1"/>
  <c r="AD79" i="12"/>
  <c r="AF48" i="61" s="1"/>
  <c r="AF65" i="61" s="1"/>
  <c r="Y79" i="12"/>
  <c r="AG7" i="61"/>
  <c r="AE79" i="12"/>
  <c r="AG48" i="61" s="1"/>
  <c r="AG65" i="61" s="1"/>
  <c r="X79" i="12"/>
  <c r="Z48" i="61" s="1"/>
  <c r="Z65" i="61" s="1"/>
  <c r="AB24" i="61"/>
  <c r="Z79" i="12"/>
  <c r="AB48" i="61" s="1"/>
  <c r="AB65" i="61" s="1"/>
  <c r="AE7" i="61"/>
  <c r="AC79" i="12"/>
  <c r="AE48" i="61" s="1"/>
  <c r="AE65" i="61" s="1"/>
  <c r="AH36" i="12"/>
  <c r="AH54" i="12" s="1"/>
  <c r="AH79" i="12"/>
  <c r="AJ48" i="61" s="1"/>
  <c r="AJ65" i="61" s="1"/>
  <c r="AI24" i="61"/>
  <c r="AG79" i="12"/>
  <c r="AI48" i="61" s="1"/>
  <c r="AI65" i="61" s="1"/>
  <c r="F14" i="61"/>
  <c r="G21" i="12"/>
  <c r="G14" i="61" s="1"/>
  <c r="D24" i="61"/>
  <c r="D79" i="12"/>
  <c r="G24" i="61"/>
  <c r="G79" i="12"/>
  <c r="J48" i="61"/>
  <c r="J65" i="61" s="1"/>
  <c r="J79" i="12"/>
  <c r="H48" i="61"/>
  <c r="H65" i="61" s="1"/>
  <c r="H79" i="12"/>
  <c r="F35" i="61"/>
  <c r="F79" i="12"/>
  <c r="C19" i="6"/>
  <c r="C55" i="6" s="1"/>
  <c r="N79" i="12"/>
  <c r="C18" i="6"/>
  <c r="C66" i="6" s="1"/>
  <c r="M79" i="12"/>
  <c r="O48" i="61"/>
  <c r="O65" i="61" s="1"/>
  <c r="O79" i="12"/>
  <c r="E36" i="12"/>
  <c r="E54" i="12" s="1"/>
  <c r="E79" i="12"/>
  <c r="H7" i="61"/>
  <c r="F15" i="61"/>
  <c r="F24" i="12"/>
  <c r="F13" i="61"/>
  <c r="F20" i="12"/>
  <c r="F12" i="61"/>
  <c r="F18" i="12"/>
  <c r="N35" i="61"/>
  <c r="M9" i="14"/>
  <c r="M11" i="16" s="1"/>
  <c r="G17" i="12"/>
  <c r="G12" i="61" s="1"/>
  <c r="H24" i="61"/>
  <c r="O90" i="12"/>
  <c r="AC9" i="14"/>
  <c r="AC11" i="16" s="1"/>
  <c r="C43" i="6"/>
  <c r="N36" i="12"/>
  <c r="N54" i="12" s="1"/>
  <c r="C11" i="52"/>
  <c r="C23" i="52" s="1"/>
  <c r="C71" i="52" s="1"/>
  <c r="G48" i="61"/>
  <c r="G65" i="61" s="1"/>
  <c r="U9" i="14"/>
  <c r="U11" i="16" s="1"/>
  <c r="F48" i="61"/>
  <c r="F65" i="61" s="1"/>
  <c r="F24" i="61"/>
  <c r="X36" i="12"/>
  <c r="X54" i="12" s="1"/>
  <c r="O24" i="61"/>
  <c r="C20" i="9"/>
  <c r="C68" i="9" s="1"/>
  <c r="D48" i="61"/>
  <c r="D65" i="61" s="1"/>
  <c r="G9" i="14"/>
  <c r="X61" i="16" s="1"/>
  <c r="G23" i="12"/>
  <c r="G24" i="12" s="1"/>
  <c r="AD9" i="14"/>
  <c r="AD11" i="16" s="1"/>
  <c r="E48" i="61"/>
  <c r="E65" i="61" s="1"/>
  <c r="AE36" i="12"/>
  <c r="AE54" i="12" s="1"/>
  <c r="F11" i="61"/>
  <c r="AJ24" i="61"/>
  <c r="N24" i="61"/>
  <c r="N7" i="61"/>
  <c r="C19" i="52"/>
  <c r="C43" i="52" s="1"/>
  <c r="M36" i="12"/>
  <c r="M54" i="12" s="1"/>
  <c r="N90" i="12"/>
  <c r="C67" i="6"/>
  <c r="E9" i="14"/>
  <c r="F10" i="61"/>
  <c r="N48" i="61"/>
  <c r="N65" i="61" s="1"/>
  <c r="C19" i="9"/>
  <c r="C43" i="9" s="1"/>
  <c r="F8" i="61"/>
  <c r="F90" i="12"/>
  <c r="AF7" i="61"/>
  <c r="C16" i="6"/>
  <c r="C64" i="6" s="1"/>
  <c r="H12" i="12"/>
  <c r="L9" i="14"/>
  <c r="G10" i="12"/>
  <c r="Y36" i="12"/>
  <c r="Y54" i="12" s="1"/>
  <c r="AG24" i="61"/>
  <c r="K90" i="12"/>
  <c r="AB7" i="61"/>
  <c r="Z7" i="61"/>
  <c r="Z35" i="61"/>
  <c r="F36" i="12"/>
  <c r="F54" i="12" s="1"/>
  <c r="AB35" i="61"/>
  <c r="G9" i="61"/>
  <c r="AD31" i="61"/>
  <c r="AA7" i="61"/>
  <c r="M90" i="12"/>
  <c r="E90" i="12"/>
  <c r="C18" i="9"/>
  <c r="C66" i="9" s="1"/>
  <c r="Z36" i="12"/>
  <c r="Z54" i="12" s="1"/>
  <c r="Z90" i="12"/>
  <c r="W9" i="14"/>
  <c r="W11" i="16" s="1"/>
  <c r="C11" i="9"/>
  <c r="C35" i="9" s="1"/>
  <c r="C11" i="6"/>
  <c r="AG36" i="12"/>
  <c r="AG54" i="12" s="1"/>
  <c r="Z9" i="14"/>
  <c r="Z11" i="16" s="1"/>
  <c r="AG90" i="12"/>
  <c r="E24" i="61"/>
  <c r="E7" i="61"/>
  <c r="D9" i="14"/>
  <c r="U61" i="16" s="1"/>
  <c r="AC90" i="12"/>
  <c r="AE35" i="61"/>
  <c r="E35" i="61"/>
  <c r="AB9" i="14"/>
  <c r="AB11" i="16" s="1"/>
  <c r="C10" i="9"/>
  <c r="C22" i="9" s="1"/>
  <c r="C70" i="9" s="1"/>
  <c r="C10" i="6"/>
  <c r="C34" i="6" s="1"/>
  <c r="AG35" i="61"/>
  <c r="AE90" i="12"/>
  <c r="AI35" i="61"/>
  <c r="AI7" i="61"/>
  <c r="D17" i="61"/>
  <c r="D16" i="61"/>
  <c r="D25" i="61" s="1"/>
  <c r="H11" i="6"/>
  <c r="BH8" i="42"/>
  <c r="CJ27" i="42" s="1"/>
  <c r="H11" i="52"/>
  <c r="H11" i="9"/>
  <c r="M7" i="5"/>
  <c r="H103" i="4"/>
  <c r="H55" i="19"/>
  <c r="R6" i="2"/>
  <c r="B33" i="52"/>
  <c r="F5" i="20"/>
  <c r="F13" i="20" s="1"/>
  <c r="AV59" i="4"/>
  <c r="M15" i="9"/>
  <c r="A3" i="35" s="1"/>
  <c r="L7" i="5"/>
  <c r="AV58" i="4"/>
  <c r="AV8" i="4" s="1"/>
  <c r="L15" i="6"/>
  <c r="H5" i="19"/>
  <c r="S5" i="19"/>
  <c r="B33" i="6"/>
  <c r="B33" i="9"/>
  <c r="L15" i="52"/>
  <c r="O7" i="61"/>
  <c r="O36" i="12"/>
  <c r="O54" i="12" s="1"/>
  <c r="C20" i="52"/>
  <c r="N9" i="14"/>
  <c r="H90" i="12"/>
  <c r="H36" i="12"/>
  <c r="H54" i="12" s="1"/>
  <c r="M7" i="61"/>
  <c r="C18" i="52"/>
  <c r="C54" i="52" s="1"/>
  <c r="C16" i="52"/>
  <c r="C28" i="52" s="1"/>
  <c r="C76" i="52" s="1"/>
  <c r="K35" i="61"/>
  <c r="K24" i="61"/>
  <c r="M48" i="61"/>
  <c r="M65" i="61" s="1"/>
  <c r="K48" i="61"/>
  <c r="K65" i="61" s="1"/>
  <c r="AH7" i="61"/>
  <c r="AH35" i="61"/>
  <c r="C16" i="9"/>
  <c r="C52" i="9" s="1"/>
  <c r="E16" i="61"/>
  <c r="E25" i="61" s="1"/>
  <c r="E17" i="61"/>
  <c r="J9" i="14"/>
  <c r="O35" i="61"/>
  <c r="C20" i="6"/>
  <c r="C32" i="6" s="1"/>
  <c r="C80" i="6" s="1"/>
  <c r="C13" i="6"/>
  <c r="C37" i="6" s="1"/>
  <c r="D27" i="12"/>
  <c r="D25" i="12"/>
  <c r="B57" i="9"/>
  <c r="BB59" i="4"/>
  <c r="BX8" i="42"/>
  <c r="CL27" i="42" s="1"/>
  <c r="AC7" i="18"/>
  <c r="BB58" i="4"/>
  <c r="BB8" i="4" s="1"/>
  <c r="B57" i="6"/>
  <c r="H13" i="6"/>
  <c r="W5" i="19"/>
  <c r="L5" i="19"/>
  <c r="B57" i="52"/>
  <c r="H13" i="9"/>
  <c r="N15" i="6"/>
  <c r="T6" i="2"/>
  <c r="K103" i="4"/>
  <c r="L55" i="19"/>
  <c r="H13" i="52"/>
  <c r="O15" i="9"/>
  <c r="P7" i="5"/>
  <c r="Q7" i="5"/>
  <c r="H5" i="20"/>
  <c r="H13" i="20" s="1"/>
  <c r="P13" i="20" s="1"/>
  <c r="F7" i="61"/>
  <c r="Z24" i="61"/>
  <c r="X90" i="12"/>
  <c r="M24" i="61"/>
  <c r="AF36" i="12"/>
  <c r="AF54" i="12" s="1"/>
  <c r="M35" i="61"/>
  <c r="K36" i="12"/>
  <c r="K54" i="12" s="1"/>
  <c r="H35" i="61"/>
  <c r="C13" i="9"/>
  <c r="C13" i="52"/>
  <c r="C61" i="52" s="1"/>
  <c r="G24" i="32"/>
  <c r="G12" i="53"/>
  <c r="M12" i="53" s="1"/>
  <c r="AE24" i="61"/>
  <c r="AC36" i="12"/>
  <c r="AC54" i="12" s="1"/>
  <c r="Q5" i="32"/>
  <c r="S47" i="32"/>
  <c r="T4" i="32" s="1"/>
  <c r="I13" i="32"/>
  <c r="D13" i="32"/>
  <c r="AF65" i="16"/>
  <c r="S71" i="32"/>
  <c r="T6" i="32" s="1"/>
  <c r="O11" i="7"/>
  <c r="P13" i="7"/>
  <c r="O14" i="7"/>
  <c r="Q15" i="7"/>
  <c r="O16" i="7"/>
  <c r="P18" i="7"/>
  <c r="Q19" i="7"/>
  <c r="O20" i="7"/>
  <c r="P22" i="7"/>
  <c r="O23" i="7"/>
  <c r="O24" i="7"/>
  <c r="Q25" i="7"/>
  <c r="P27" i="7"/>
  <c r="Q28" i="7"/>
  <c r="P29" i="7"/>
  <c r="P31" i="7"/>
  <c r="Q32" i="7"/>
  <c r="P33" i="7"/>
  <c r="O35" i="7"/>
  <c r="O36" i="7"/>
  <c r="Q37" i="7"/>
  <c r="P38" i="7"/>
  <c r="O40" i="7"/>
  <c r="P41" i="7"/>
  <c r="Q42" i="7"/>
  <c r="O44" i="7"/>
  <c r="Q45" i="7"/>
  <c r="Q46" i="7"/>
  <c r="R5" i="7"/>
  <c r="Q48" i="7"/>
  <c r="O50" i="7"/>
  <c r="P51" i="7"/>
  <c r="Q52" i="7"/>
  <c r="O54" i="7"/>
  <c r="P55" i="7"/>
  <c r="Q56" i="7"/>
  <c r="O58" i="7"/>
  <c r="Q59" i="7"/>
  <c r="P59" i="7"/>
  <c r="P61" i="7"/>
  <c r="O63" i="7"/>
  <c r="P64" i="7"/>
  <c r="Q65" i="7"/>
  <c r="O67" i="7"/>
  <c r="Q68" i="7"/>
  <c r="Q69" i="7"/>
  <c r="O71" i="7"/>
  <c r="Q71" i="7"/>
  <c r="O73" i="7"/>
  <c r="Q74" i="7"/>
  <c r="P75" i="7"/>
  <c r="O77" i="7"/>
  <c r="P78" i="7"/>
  <c r="Q79" i="7"/>
  <c r="O81" i="7"/>
  <c r="Q82" i="7"/>
  <c r="Q11" i="7"/>
  <c r="P12" i="7"/>
  <c r="P14" i="7"/>
  <c r="O15" i="7"/>
  <c r="P17" i="7"/>
  <c r="O18" i="7"/>
  <c r="O19" i="7"/>
  <c r="O21" i="7"/>
  <c r="Q22" i="7"/>
  <c r="Q23" i="7"/>
  <c r="P24" i="7"/>
  <c r="P26" i="7"/>
  <c r="O27" i="7"/>
  <c r="O28" i="7"/>
  <c r="P30" i="7"/>
  <c r="O31" i="7"/>
  <c r="P32" i="7"/>
  <c r="Q34" i="7"/>
  <c r="R4" i="7"/>
  <c r="V22" i="7" s="1"/>
  <c r="P36" i="7"/>
  <c r="P37" i="7"/>
  <c r="O39" i="7"/>
  <c r="P40" i="7"/>
  <c r="Q41" i="7"/>
  <c r="O43" i="7"/>
  <c r="Q44" i="7"/>
  <c r="P45" i="7"/>
  <c r="P46" i="7"/>
  <c r="O49" i="7"/>
  <c r="Q50" i="7"/>
  <c r="Q51" i="7"/>
  <c r="O53" i="7"/>
  <c r="P54" i="7"/>
  <c r="Q55" i="7"/>
  <c r="O57" i="7"/>
  <c r="Q58" i="7"/>
  <c r="O60" i="7"/>
  <c r="Q60" i="7"/>
  <c r="O62" i="7"/>
  <c r="Q63" i="7"/>
  <c r="Q64" i="7"/>
  <c r="O66" i="7"/>
  <c r="Q67" i="7"/>
  <c r="P68" i="7"/>
  <c r="O70" i="7"/>
  <c r="O72" i="7"/>
  <c r="P73" i="7"/>
  <c r="P74" i="7"/>
  <c r="O76" i="7"/>
  <c r="Q77" i="7"/>
  <c r="Q78" i="7"/>
  <c r="O80" i="7"/>
  <c r="P81" i="7"/>
  <c r="P82" i="7"/>
  <c r="O12" i="7"/>
  <c r="Q14" i="7"/>
  <c r="O17" i="7"/>
  <c r="P20" i="7"/>
  <c r="O22" i="7"/>
  <c r="P25" i="7"/>
  <c r="Q27" i="7"/>
  <c r="O30" i="7"/>
  <c r="O33" i="7"/>
  <c r="P35" i="7"/>
  <c r="O38" i="7"/>
  <c r="Q40" i="7"/>
  <c r="P43" i="7"/>
  <c r="O46" i="7"/>
  <c r="O48" i="7"/>
  <c r="P50" i="7"/>
  <c r="P53" i="7"/>
  <c r="O56" i="7"/>
  <c r="P58" i="7"/>
  <c r="O61" i="7"/>
  <c r="P63" i="7"/>
  <c r="Q66" i="7"/>
  <c r="O69" i="7"/>
  <c r="R7" i="7"/>
  <c r="V25" i="7" s="1"/>
  <c r="Q73" i="7"/>
  <c r="Q76" i="7"/>
  <c r="O79" i="7"/>
  <c r="Q81" i="7"/>
  <c r="Q12" i="7"/>
  <c r="P15" i="7"/>
  <c r="Q17" i="7"/>
  <c r="Q20" i="7"/>
  <c r="P23" i="7"/>
  <c r="O25" i="7"/>
  <c r="P28" i="7"/>
  <c r="Q30" i="7"/>
  <c r="Q33" i="7"/>
  <c r="Q35" i="7"/>
  <c r="Q38" i="7"/>
  <c r="O41" i="7"/>
  <c r="Q43" i="7"/>
  <c r="O47" i="7"/>
  <c r="P48" i="7"/>
  <c r="O51" i="7"/>
  <c r="Q53" i="7"/>
  <c r="P56" i="7"/>
  <c r="O59" i="7"/>
  <c r="Q61" i="7"/>
  <c r="O64" i="7"/>
  <c r="P66" i="7"/>
  <c r="P69" i="7"/>
  <c r="P71" i="7"/>
  <c r="O74" i="7"/>
  <c r="P76" i="7"/>
  <c r="P79" i="7"/>
  <c r="O82" i="7"/>
  <c r="O13" i="7"/>
  <c r="P16" i="7"/>
  <c r="Q18" i="7"/>
  <c r="Q21" i="7"/>
  <c r="R3" i="7"/>
  <c r="O26" i="7"/>
  <c r="O29" i="7"/>
  <c r="Q31" i="7"/>
  <c r="O34" i="7"/>
  <c r="Q36" i="7"/>
  <c r="P39" i="7"/>
  <c r="O42" i="7"/>
  <c r="P44" i="7"/>
  <c r="P47" i="7"/>
  <c r="Q49" i="7"/>
  <c r="O52" i="7"/>
  <c r="Q54" i="7"/>
  <c r="P57" i="7"/>
  <c r="R6" i="7"/>
  <c r="V24" i="7" s="1"/>
  <c r="P62" i="7"/>
  <c r="O65" i="7"/>
  <c r="P67" i="7"/>
  <c r="Q70" i="7"/>
  <c r="P72" i="7"/>
  <c r="O75" i="7"/>
  <c r="P77" i="7"/>
  <c r="P80" i="7"/>
  <c r="R8" i="7"/>
  <c r="V26" i="7" s="1"/>
  <c r="Q13" i="7"/>
  <c r="Q24" i="7"/>
  <c r="P34" i="7"/>
  <c r="O45" i="7"/>
  <c r="O55" i="7"/>
  <c r="P65" i="7"/>
  <c r="Q75" i="7"/>
  <c r="P11" i="7"/>
  <c r="P21" i="7"/>
  <c r="P42" i="7"/>
  <c r="P52" i="7"/>
  <c r="Q16" i="7"/>
  <c r="Q26" i="7"/>
  <c r="O37" i="7"/>
  <c r="Q47" i="7"/>
  <c r="Q57" i="7"/>
  <c r="O68" i="7"/>
  <c r="O78" i="7"/>
  <c r="Q62" i="7"/>
  <c r="P19" i="7"/>
  <c r="Q29" i="7"/>
  <c r="Q39" i="7"/>
  <c r="P49" i="7"/>
  <c r="P60" i="7"/>
  <c r="P70" i="7"/>
  <c r="Q80" i="7"/>
  <c r="O32" i="7"/>
  <c r="Q72" i="7"/>
  <c r="C11" i="7"/>
  <c r="J11" i="7" s="1"/>
  <c r="J21" i="18"/>
  <c r="D21" i="16"/>
  <c r="S20" i="14"/>
  <c r="T19" i="14"/>
  <c r="F31" i="16"/>
  <c r="H23" i="14"/>
  <c r="H31" i="16" s="1"/>
  <c r="F20" i="14"/>
  <c r="G20" i="14" s="1"/>
  <c r="K19" i="2"/>
  <c r="B19" i="2"/>
  <c r="B10" i="19" s="1"/>
  <c r="B8" i="2"/>
  <c r="B8" i="19" s="1"/>
  <c r="K8" i="2"/>
  <c r="V26" i="16"/>
  <c r="F34" i="16"/>
  <c r="G26" i="14"/>
  <c r="X38" i="16"/>
  <c r="E36" i="16"/>
  <c r="V28" i="14"/>
  <c r="V36" i="16" s="1"/>
  <c r="E35" i="16"/>
  <c r="H33" i="16"/>
  <c r="I25" i="14"/>
  <c r="E32" i="16"/>
  <c r="F24" i="14"/>
  <c r="W28" i="14"/>
  <c r="W36" i="16" s="1"/>
  <c r="G28" i="14"/>
  <c r="F36" i="16"/>
  <c r="F27" i="16"/>
  <c r="G19" i="14"/>
  <c r="B35" i="18"/>
  <c r="F18" i="18"/>
  <c r="C53" i="9"/>
  <c r="C29" i="9"/>
  <c r="C77" i="9" s="1"/>
  <c r="C41" i="9"/>
  <c r="I90" i="12"/>
  <c r="C14" i="9"/>
  <c r="C14" i="52"/>
  <c r="I7" i="61"/>
  <c r="H9" i="14"/>
  <c r="C14" i="6"/>
  <c r="I35" i="61"/>
  <c r="I36" i="12"/>
  <c r="I54" i="12" s="1"/>
  <c r="I48" i="61"/>
  <c r="I65" i="61" s="1"/>
  <c r="AA35" i="61"/>
  <c r="Y90" i="12"/>
  <c r="G36" i="12"/>
  <c r="G54" i="12" s="1"/>
  <c r="C12" i="52"/>
  <c r="C12" i="6"/>
  <c r="C12" i="9"/>
  <c r="F9" i="14"/>
  <c r="G35" i="61"/>
  <c r="G7" i="61"/>
  <c r="G90" i="12"/>
  <c r="AJ7" i="61"/>
  <c r="AH90" i="12"/>
  <c r="AJ35" i="61"/>
  <c r="AE9" i="14"/>
  <c r="AE11" i="16" s="1"/>
  <c r="I24" i="61"/>
  <c r="AA48" i="61"/>
  <c r="AA65" i="61" s="1"/>
  <c r="AA24" i="61"/>
  <c r="AF24" i="61"/>
  <c r="AD36" i="12"/>
  <c r="AD54" i="12" s="1"/>
  <c r="AD90" i="12"/>
  <c r="AF35" i="61"/>
  <c r="K7" i="61"/>
  <c r="AC24" i="61"/>
  <c r="X9" i="14"/>
  <c r="X11" i="16" s="1"/>
  <c r="AC35" i="61"/>
  <c r="AC7" i="61"/>
  <c r="AA36" i="12"/>
  <c r="AA54" i="12" s="1"/>
  <c r="AA90" i="12"/>
  <c r="AD24" i="61"/>
  <c r="AD35" i="61"/>
  <c r="AD48" i="61"/>
  <c r="AD65" i="61" s="1"/>
  <c r="AD7" i="61"/>
  <c r="AB36" i="12"/>
  <c r="AB54" i="12" s="1"/>
  <c r="AB90" i="12"/>
  <c r="Y9" i="14"/>
  <c r="Y11" i="16" s="1"/>
  <c r="AH48" i="61"/>
  <c r="AH65" i="61" s="1"/>
  <c r="AF90" i="12"/>
  <c r="I9" i="14"/>
  <c r="J7" i="61"/>
  <c r="C15" i="52"/>
  <c r="C15" i="6"/>
  <c r="J36" i="12"/>
  <c r="J54" i="12" s="1"/>
  <c r="C15" i="9"/>
  <c r="J35" i="61"/>
  <c r="J90" i="12"/>
  <c r="J24" i="61"/>
  <c r="V9" i="14"/>
  <c r="V11" i="16" s="1"/>
  <c r="C9" i="14"/>
  <c r="C9" i="52"/>
  <c r="D7" i="61"/>
  <c r="C9" i="6"/>
  <c r="W8" i="12"/>
  <c r="W79" i="12" s="1"/>
  <c r="D36" i="12"/>
  <c r="D54" i="12" s="1"/>
  <c r="D90" i="12"/>
  <c r="Y35" i="61"/>
  <c r="C9" i="9"/>
  <c r="D35" i="61"/>
  <c r="C10" i="52"/>
  <c r="P8" i="22"/>
  <c r="P5" i="23"/>
  <c r="P4" i="56"/>
  <c r="P3" i="22"/>
  <c r="D105" i="4"/>
  <c r="E105" i="4" s="1"/>
  <c r="G105" i="4" s="1"/>
  <c r="H105" i="4" s="1"/>
  <c r="J105" i="4" s="1"/>
  <c r="K105" i="4" s="1"/>
  <c r="H7" i="2"/>
  <c r="B10" i="40" s="1"/>
  <c r="B7" i="40" s="1"/>
  <c r="E12" i="54"/>
  <c r="K12" i="54"/>
  <c r="D12" i="53"/>
  <c r="I12" i="53"/>
  <c r="O6" i="23"/>
  <c r="O3" i="23"/>
  <c r="D31" i="19"/>
  <c r="AG43" i="16"/>
  <c r="F31" i="19" s="1"/>
  <c r="O6" i="22"/>
  <c r="Q4" i="23"/>
  <c r="O5" i="23"/>
  <c r="D11" i="8"/>
  <c r="C11" i="8" s="1"/>
  <c r="J11" i="8" s="1"/>
  <c r="I11" i="8"/>
  <c r="P4" i="23"/>
  <c r="CB12" i="42"/>
  <c r="CD12" i="42" s="1"/>
  <c r="BV12" i="42"/>
  <c r="CC14" i="42"/>
  <c r="Y14" i="14"/>
  <c r="Y21" i="16" s="1"/>
  <c r="AY21" i="42"/>
  <c r="AX23" i="42"/>
  <c r="AI17" i="42"/>
  <c r="AH17" i="42"/>
  <c r="AQ21" i="42"/>
  <c r="AQ23" i="42" s="1"/>
  <c r="AP23" i="42"/>
  <c r="BD21" i="42"/>
  <c r="AZ21" i="42"/>
  <c r="AR21" i="42"/>
  <c r="AV21" i="42"/>
  <c r="AL23" i="42"/>
  <c r="K23" i="42"/>
  <c r="K24" i="42" s="1"/>
  <c r="E15" i="14"/>
  <c r="E22" i="16" s="1"/>
  <c r="D15" i="14"/>
  <c r="D22" i="16" s="1"/>
  <c r="C15" i="14"/>
  <c r="K15" i="14"/>
  <c r="K22" i="16" s="1"/>
  <c r="J15" i="14"/>
  <c r="J22" i="16" s="1"/>
  <c r="I15" i="14"/>
  <c r="I22" i="16" s="1"/>
  <c r="F18" i="42"/>
  <c r="G17" i="42"/>
  <c r="G15" i="14"/>
  <c r="G22" i="16" s="1"/>
  <c r="H15" i="14"/>
  <c r="H22" i="16" s="1"/>
  <c r="F15" i="14"/>
  <c r="F22" i="16" s="1"/>
  <c r="AH13" i="42"/>
  <c r="AH14" i="42" s="1"/>
  <c r="AI13" i="42"/>
  <c r="AI14" i="42" s="1"/>
  <c r="CD15" i="42"/>
  <c r="AG21" i="42"/>
  <c r="AH21" i="42" s="1"/>
  <c r="E21" i="42"/>
  <c r="Y24" i="42"/>
  <c r="N15" i="14"/>
  <c r="N22" i="16" s="1"/>
  <c r="M15" i="14"/>
  <c r="M22" i="16" s="1"/>
  <c r="L15" i="14"/>
  <c r="L22" i="16" s="1"/>
  <c r="BM23" i="42"/>
  <c r="BM24" i="42" s="1"/>
  <c r="BN10" i="42"/>
  <c r="BL14" i="42"/>
  <c r="AF24" i="42"/>
  <c r="BQ21" i="42"/>
  <c r="BL21" i="42"/>
  <c r="BN21" i="42" s="1"/>
  <c r="BI23" i="42"/>
  <c r="AA23" i="42"/>
  <c r="AA24" i="42" s="1"/>
  <c r="AY12" i="42"/>
  <c r="AX14" i="42"/>
  <c r="BZ10" i="42"/>
  <c r="BT10" i="42"/>
  <c r="S23" i="42"/>
  <c r="S24" i="42" s="1"/>
  <c r="F14" i="14"/>
  <c r="F21" i="16" s="1"/>
  <c r="H14" i="14"/>
  <c r="H21" i="16" s="1"/>
  <c r="Q24" i="42"/>
  <c r="G14" i="14"/>
  <c r="G21" i="16" s="1"/>
  <c r="BN11" i="42"/>
  <c r="BT11" i="42"/>
  <c r="BB14" i="42"/>
  <c r="BC12" i="42"/>
  <c r="BB23" i="42"/>
  <c r="BY14" i="42"/>
  <c r="G19" i="12"/>
  <c r="K61" i="16"/>
  <c r="K11" i="16"/>
  <c r="AB61" i="16"/>
  <c r="C65" i="52"/>
  <c r="C53" i="52"/>
  <c r="C41" i="52"/>
  <c r="C29" i="52"/>
  <c r="C77" i="52" s="1"/>
  <c r="C41" i="6"/>
  <c r="C29" i="6"/>
  <c r="C77" i="6" s="1"/>
  <c r="C65" i="6"/>
  <c r="C53" i="6"/>
  <c r="G16" i="12"/>
  <c r="G14" i="12"/>
  <c r="R24" i="32"/>
  <c r="R25" i="32" s="1"/>
  <c r="R26" i="32" s="1"/>
  <c r="R27" i="32" s="1"/>
  <c r="R28" i="32" s="1"/>
  <c r="R29" i="32" s="1"/>
  <c r="R30" i="32" s="1"/>
  <c r="R31" i="32" s="1"/>
  <c r="R32" i="32" s="1"/>
  <c r="R33" i="32" s="1"/>
  <c r="R34" i="32" s="1"/>
  <c r="R35" i="32" s="1"/>
  <c r="S3" i="32"/>
  <c r="Q6" i="32"/>
  <c r="S59" i="32"/>
  <c r="T5" i="32" s="1"/>
  <c r="P3" i="32"/>
  <c r="O7" i="32"/>
  <c r="O4" i="32"/>
  <c r="O4" i="56"/>
  <c r="O5" i="56"/>
  <c r="Q7" i="56"/>
  <c r="Q5" i="56"/>
  <c r="Q8" i="32"/>
  <c r="S83" i="32"/>
  <c r="T7" i="32" s="1"/>
  <c r="P8" i="32"/>
  <c r="I6" i="36"/>
  <c r="B5" i="36"/>
  <c r="Q3" i="56"/>
  <c r="O3" i="56"/>
  <c r="P6" i="56"/>
  <c r="P7" i="56"/>
  <c r="P8" i="56"/>
  <c r="O7" i="56"/>
  <c r="H20" i="5"/>
  <c r="AH19" i="42"/>
  <c r="BC62" i="4"/>
  <c r="Q3" i="32"/>
  <c r="S23" i="32"/>
  <c r="S35" i="32"/>
  <c r="T3" i="32" s="1"/>
  <c r="Q4" i="32"/>
  <c r="O3" i="32"/>
  <c r="E12" i="7"/>
  <c r="B12" i="7"/>
  <c r="D12" i="7"/>
  <c r="C12" i="7"/>
  <c r="J12" i="7" s="1"/>
  <c r="O6" i="56"/>
  <c r="P5" i="56"/>
  <c r="Q8" i="56"/>
  <c r="O8" i="56"/>
  <c r="P3" i="56"/>
  <c r="Y18" i="14"/>
  <c r="X26" i="16"/>
  <c r="H110" i="4"/>
  <c r="F12" i="19"/>
  <c r="B14" i="19"/>
  <c r="C30" i="14"/>
  <c r="D112" i="4"/>
  <c r="E112" i="4" s="1"/>
  <c r="B41" i="18"/>
  <c r="F38" i="18"/>
  <c r="C21" i="16"/>
  <c r="Q6" i="56"/>
  <c r="Q4" i="56"/>
  <c r="H18" i="20"/>
  <c r="X6" i="12"/>
  <c r="BN13" i="42" l="1"/>
  <c r="Y6" i="12"/>
  <c r="Z6" i="12" s="1"/>
  <c r="AA6" i="12" s="1"/>
  <c r="AB6" i="12" s="1"/>
  <c r="AC6" i="12" s="1"/>
  <c r="AD6" i="12" s="1"/>
  <c r="AE6" i="12" s="1"/>
  <c r="AF6" i="12" s="1"/>
  <c r="AG6" i="12" s="1"/>
  <c r="AH6" i="12" s="1"/>
  <c r="X11" i="12"/>
  <c r="Y11" i="12" s="1"/>
  <c r="Z11" i="12" s="1"/>
  <c r="AA11" i="12" s="1"/>
  <c r="AB11" i="12" s="1"/>
  <c r="AC11" i="12" s="1"/>
  <c r="AD11" i="12" s="1"/>
  <c r="AE11" i="12" s="1"/>
  <c r="AF11" i="12" s="1"/>
  <c r="AG11" i="12" s="1"/>
  <c r="AH11" i="12" s="1"/>
  <c r="X13" i="12"/>
  <c r="Y13" i="12" s="1"/>
  <c r="Z13" i="12" s="1"/>
  <c r="AA13" i="12" s="1"/>
  <c r="AB13" i="12" s="1"/>
  <c r="AC13" i="12" s="1"/>
  <c r="AD13" i="12" s="1"/>
  <c r="AE13" i="12" s="1"/>
  <c r="AF13" i="12" s="1"/>
  <c r="AG13" i="12" s="1"/>
  <c r="AH13" i="12" s="1"/>
  <c r="X15" i="12"/>
  <c r="Y15" i="12" s="1"/>
  <c r="Z15" i="12" s="1"/>
  <c r="AA15" i="12" s="1"/>
  <c r="AB15" i="12" s="1"/>
  <c r="AC15" i="12" s="1"/>
  <c r="AD15" i="12" s="1"/>
  <c r="AE15" i="12" s="1"/>
  <c r="AF15" i="12" s="1"/>
  <c r="AG15" i="12" s="1"/>
  <c r="AH15" i="12" s="1"/>
  <c r="X9" i="12"/>
  <c r="Y9" i="12" s="1"/>
  <c r="Z9" i="12" s="1"/>
  <c r="AA9" i="12" s="1"/>
  <c r="AB9" i="12" s="1"/>
  <c r="AC9" i="12" s="1"/>
  <c r="AD9" i="12" s="1"/>
  <c r="AE9" i="12" s="1"/>
  <c r="AF9" i="12" s="1"/>
  <c r="AG9" i="12" s="1"/>
  <c r="AH9" i="12" s="1"/>
  <c r="BC23" i="42"/>
  <c r="R24" i="42"/>
  <c r="F17" i="16" s="1"/>
  <c r="G17" i="16" s="1"/>
  <c r="H17" i="16" s="1"/>
  <c r="I50" i="16" s="1"/>
  <c r="M13" i="20"/>
  <c r="Q8" i="64"/>
  <c r="Y8" i="64"/>
  <c r="Q65" i="37"/>
  <c r="O81" i="37"/>
  <c r="Q35" i="37"/>
  <c r="O49" i="37"/>
  <c r="O80" i="37"/>
  <c r="Q59" i="37"/>
  <c r="P71" i="37"/>
  <c r="P21" i="37"/>
  <c r="Q60" i="37"/>
  <c r="P51" i="37"/>
  <c r="Q46" i="37"/>
  <c r="P12" i="37"/>
  <c r="O22" i="37"/>
  <c r="AV14" i="42"/>
  <c r="AL82" i="61"/>
  <c r="B32" i="19"/>
  <c r="D20" i="63" s="1"/>
  <c r="O3" i="7"/>
  <c r="AY23" i="42"/>
  <c r="N14" i="42"/>
  <c r="N24" i="42" s="1"/>
  <c r="C17" i="16" s="1"/>
  <c r="D17" i="16" s="1"/>
  <c r="E17" i="16" s="1"/>
  <c r="AP24" i="42"/>
  <c r="AY13" i="42"/>
  <c r="AY14" i="42" s="1"/>
  <c r="AQ13" i="42"/>
  <c r="AQ14" i="42" s="1"/>
  <c r="AQ24" i="42" s="1"/>
  <c r="T17" i="16" s="1"/>
  <c r="BC13" i="42"/>
  <c r="BC14" i="42" s="1"/>
  <c r="AU13" i="42"/>
  <c r="AU14" i="42" s="1"/>
  <c r="AU24" i="42" s="1"/>
  <c r="W17" i="16" s="1"/>
  <c r="X17" i="16" s="1"/>
  <c r="Y17" i="16" s="1"/>
  <c r="Z50" i="16" s="1"/>
  <c r="Z14" i="42"/>
  <c r="Z24" i="42" s="1"/>
  <c r="L17" i="16" s="1"/>
  <c r="M17" i="16" s="1"/>
  <c r="N17" i="16" s="1"/>
  <c r="V14" i="42"/>
  <c r="V24" i="42" s="1"/>
  <c r="I17" i="16" s="1"/>
  <c r="J17" i="16" s="1"/>
  <c r="K17" i="16" s="1"/>
  <c r="L50" i="16" s="1"/>
  <c r="O54" i="37"/>
  <c r="Q18" i="37"/>
  <c r="P52" i="37"/>
  <c r="Q16" i="37"/>
  <c r="O18" i="37"/>
  <c r="Q29" i="37"/>
  <c r="BC65" i="4"/>
  <c r="BC61" i="4"/>
  <c r="P41" i="37"/>
  <c r="Q79" i="37"/>
  <c r="Q17" i="37"/>
  <c r="O39" i="37"/>
  <c r="Q48" i="37"/>
  <c r="P65" i="37"/>
  <c r="Q32" i="37"/>
  <c r="R7" i="37"/>
  <c r="O12" i="37"/>
  <c r="P62" i="37"/>
  <c r="P48" i="37"/>
  <c r="Q21" i="37"/>
  <c r="O33" i="37"/>
  <c r="BC60" i="4"/>
  <c r="BB67" i="4"/>
  <c r="O38" i="37"/>
  <c r="O82" i="37"/>
  <c r="P47" i="37"/>
  <c r="Q14" i="37"/>
  <c r="P13" i="37"/>
  <c r="Q38" i="37"/>
  <c r="O47" i="37"/>
  <c r="P15" i="37"/>
  <c r="BC64" i="4"/>
  <c r="O24" i="37"/>
  <c r="Q67" i="37"/>
  <c r="P30" i="37"/>
  <c r="O37" i="37"/>
  <c r="R8" i="37"/>
  <c r="P28" i="37"/>
  <c r="P49" i="37"/>
  <c r="Q31" i="37"/>
  <c r="P57" i="37"/>
  <c r="O74" i="37"/>
  <c r="P33" i="37"/>
  <c r="P23" i="37"/>
  <c r="P83" i="37"/>
  <c r="AB88" i="12"/>
  <c r="AB34" i="12"/>
  <c r="AB77" i="12" s="1"/>
  <c r="AY59" i="4"/>
  <c r="B45" i="9"/>
  <c r="BP8" i="42"/>
  <c r="CK27" i="42" s="1"/>
  <c r="H12" i="6"/>
  <c r="S6" i="2"/>
  <c r="U5" i="19"/>
  <c r="J103" i="4"/>
  <c r="B45" i="52"/>
  <c r="J55" i="19"/>
  <c r="H12" i="9"/>
  <c r="N7" i="5"/>
  <c r="N15" i="9"/>
  <c r="G5" i="20"/>
  <c r="G13" i="20" s="1"/>
  <c r="AY58" i="4"/>
  <c r="AY8" i="4" s="1"/>
  <c r="B45" i="6"/>
  <c r="M15" i="6"/>
  <c r="AA7" i="18"/>
  <c r="O7" i="5"/>
  <c r="J5" i="19"/>
  <c r="H12" i="52"/>
  <c r="BD28" i="20"/>
  <c r="D13" i="20"/>
  <c r="I4" i="61"/>
  <c r="I22" i="61" s="1"/>
  <c r="I88" i="12"/>
  <c r="I34" i="12"/>
  <c r="I77" i="12" s="1"/>
  <c r="W8" i="64"/>
  <c r="G8" i="64"/>
  <c r="N8" i="64"/>
  <c r="D7" i="18"/>
  <c r="B69" i="52"/>
  <c r="B69" i="9"/>
  <c r="B69" i="6"/>
  <c r="P43" i="18"/>
  <c r="AC35" i="18" s="1"/>
  <c r="AA35" i="18"/>
  <c r="M21" i="18"/>
  <c r="P21" i="18" s="1"/>
  <c r="AZ63" i="4"/>
  <c r="AW65" i="4"/>
  <c r="AZ64" i="4"/>
  <c r="AZ62" i="4"/>
  <c r="AW64" i="4"/>
  <c r="AZ65" i="4"/>
  <c r="AZ61" i="4"/>
  <c r="AY67" i="4"/>
  <c r="AV67" i="4"/>
  <c r="P61" i="37"/>
  <c r="P74" i="37"/>
  <c r="O68" i="37"/>
  <c r="P16" i="37"/>
  <c r="P18" i="37"/>
  <c r="O58" i="37"/>
  <c r="P37" i="37"/>
  <c r="O21" i="37"/>
  <c r="O59" i="37"/>
  <c r="Q25" i="37"/>
  <c r="P40" i="37"/>
  <c r="O40" i="37"/>
  <c r="P70" i="37"/>
  <c r="Q39" i="37"/>
  <c r="Q42" i="37"/>
  <c r="Q52" i="37"/>
  <c r="P14" i="37"/>
  <c r="O66" i="37"/>
  <c r="O35" i="37"/>
  <c r="O67" i="37"/>
  <c r="O56" i="37"/>
  <c r="O61" i="37"/>
  <c r="P44" i="37"/>
  <c r="Q78" i="37"/>
  <c r="Q36" i="37"/>
  <c r="P42" i="37"/>
  <c r="O51" i="37"/>
  <c r="P54" i="37"/>
  <c r="Q69" i="37"/>
  <c r="P50" i="37"/>
  <c r="Q56" i="37"/>
  <c r="P78" i="37"/>
  <c r="P46" i="37"/>
  <c r="Q62" i="37"/>
  <c r="O78" i="37"/>
  <c r="O44" i="37"/>
  <c r="Q70" i="37"/>
  <c r="Q15" i="37"/>
  <c r="Q13" i="37"/>
  <c r="Q77" i="37"/>
  <c r="O26" i="37"/>
  <c r="P81" i="37"/>
  <c r="O46" i="37"/>
  <c r="O15" i="37"/>
  <c r="O76" i="37"/>
  <c r="P24" i="37"/>
  <c r="P34" i="37"/>
  <c r="Q55" i="37"/>
  <c r="Q72" i="37"/>
  <c r="O34" i="37"/>
  <c r="Q30" i="37"/>
  <c r="Q57" i="37"/>
  <c r="O65" i="37"/>
  <c r="Q54" i="37"/>
  <c r="P58" i="37"/>
  <c r="O42" i="37"/>
  <c r="P66" i="37"/>
  <c r="Q66" i="37"/>
  <c r="Q81" i="37"/>
  <c r="Q49" i="37"/>
  <c r="O45" i="37"/>
  <c r="Q45" i="37"/>
  <c r="Q12" i="37"/>
  <c r="O23" i="37"/>
  <c r="Q63" i="37"/>
  <c r="O41" i="37"/>
  <c r="P77" i="37"/>
  <c r="P69" i="37"/>
  <c r="P26" i="37"/>
  <c r="Q71" i="37"/>
  <c r="P73" i="37"/>
  <c r="O55" i="37"/>
  <c r="P80" i="37"/>
  <c r="O57" i="37"/>
  <c r="P76" i="37"/>
  <c r="Q23" i="37"/>
  <c r="Q74" i="37"/>
  <c r="O31" i="37"/>
  <c r="P68" i="37"/>
  <c r="O29" i="37"/>
  <c r="Q50" i="37"/>
  <c r="Q28" i="37"/>
  <c r="O48" i="37"/>
  <c r="P60" i="37"/>
  <c r="Q51" i="37"/>
  <c r="P22" i="37"/>
  <c r="P64" i="37"/>
  <c r="P55" i="37"/>
  <c r="P63" i="37"/>
  <c r="O63" i="37"/>
  <c r="P36" i="37"/>
  <c r="O70" i="37"/>
  <c r="Q80" i="37"/>
  <c r="O77" i="37"/>
  <c r="O14" i="37"/>
  <c r="R6" i="37"/>
  <c r="P72" i="37"/>
  <c r="O73" i="37"/>
  <c r="P17" i="37"/>
  <c r="O20" i="37"/>
  <c r="P43" i="37"/>
  <c r="P31" i="37"/>
  <c r="R4" i="37"/>
  <c r="Q47" i="37"/>
  <c r="O75" i="37"/>
  <c r="O28" i="37"/>
  <c r="P38" i="37"/>
  <c r="P19" i="37"/>
  <c r="P27" i="37"/>
  <c r="O25" i="37"/>
  <c r="P39" i="37"/>
  <c r="Q40" i="37"/>
  <c r="Q64" i="37"/>
  <c r="O16" i="37"/>
  <c r="P53" i="37"/>
  <c r="P67" i="37"/>
  <c r="P75" i="37"/>
  <c r="O72" i="37"/>
  <c r="O43" i="37"/>
  <c r="P45" i="37"/>
  <c r="O79" i="37"/>
  <c r="O19" i="37"/>
  <c r="P56" i="37"/>
  <c r="P59" i="37"/>
  <c r="Q26" i="37"/>
  <c r="Q75" i="37"/>
  <c r="O36" i="37"/>
  <c r="P35" i="37"/>
  <c r="O52" i="37"/>
  <c r="Q27" i="37"/>
  <c r="Q19" i="37"/>
  <c r="P32" i="37"/>
  <c r="Q82" i="37"/>
  <c r="O27" i="37"/>
  <c r="O64" i="37"/>
  <c r="O13" i="37"/>
  <c r="Q43" i="37"/>
  <c r="O60" i="37"/>
  <c r="Q22" i="37"/>
  <c r="O69" i="37"/>
  <c r="O30" i="37"/>
  <c r="Q83" i="37"/>
  <c r="O32" i="37"/>
  <c r="P25" i="37"/>
  <c r="O50" i="37"/>
  <c r="Q24" i="37"/>
  <c r="Q68" i="37"/>
  <c r="O53" i="37"/>
  <c r="Q73" i="37"/>
  <c r="P29" i="37"/>
  <c r="Q44" i="37"/>
  <c r="Q41" i="37"/>
  <c r="P82" i="37"/>
  <c r="Q61" i="37"/>
  <c r="Q34" i="37"/>
  <c r="O71" i="37"/>
  <c r="O83" i="37"/>
  <c r="Q20" i="37"/>
  <c r="Q37" i="37"/>
  <c r="Q58" i="37"/>
  <c r="P20" i="37"/>
  <c r="R3" i="37"/>
  <c r="O17" i="37"/>
  <c r="R5" i="37"/>
  <c r="O62" i="37"/>
  <c r="Q53" i="37"/>
  <c r="P79" i="37"/>
  <c r="I16" i="14"/>
  <c r="I24" i="16" s="1"/>
  <c r="AZ14" i="42"/>
  <c r="C31" i="6"/>
  <c r="C79" i="6" s="1"/>
  <c r="B5" i="34"/>
  <c r="AW61" i="4"/>
  <c r="AW60" i="4"/>
  <c r="AW62" i="4"/>
  <c r="I11" i="5"/>
  <c r="P11" i="2" s="1"/>
  <c r="K12" i="55"/>
  <c r="Q24" i="55" s="1"/>
  <c r="E12" i="33"/>
  <c r="C12" i="33" s="1"/>
  <c r="J12" i="33" s="1"/>
  <c r="P12" i="33" s="1"/>
  <c r="AB62" i="4"/>
  <c r="AB60" i="4"/>
  <c r="B12" i="35"/>
  <c r="I12" i="35" s="1"/>
  <c r="AB63" i="4"/>
  <c r="AB65" i="4"/>
  <c r="AB61" i="4"/>
  <c r="AA67" i="4"/>
  <c r="AM66" i="4"/>
  <c r="D11" i="22"/>
  <c r="C11" i="22" s="1"/>
  <c r="J11" i="22" s="1"/>
  <c r="Q7" i="35"/>
  <c r="R12" i="35"/>
  <c r="R13" i="35" s="1"/>
  <c r="R14" i="35" s="1"/>
  <c r="R15" i="35" s="1"/>
  <c r="R16" i="35" s="1"/>
  <c r="R17" i="35" s="1"/>
  <c r="R18" i="35" s="1"/>
  <c r="R19" i="35" s="1"/>
  <c r="R20" i="35" s="1"/>
  <c r="R21" i="35" s="1"/>
  <c r="R22" i="35" s="1"/>
  <c r="R23" i="35" s="1"/>
  <c r="O6" i="35"/>
  <c r="P5" i="35"/>
  <c r="S35" i="35"/>
  <c r="T3" i="35" s="1"/>
  <c r="I15" i="5"/>
  <c r="P15" i="2" s="1"/>
  <c r="Q12" i="33"/>
  <c r="R12" i="33" s="1"/>
  <c r="O12" i="53"/>
  <c r="D9" i="52" s="1"/>
  <c r="D11" i="24"/>
  <c r="C11" i="24" s="1"/>
  <c r="J11" i="24" s="1"/>
  <c r="E12" i="48"/>
  <c r="B13" i="48" s="1"/>
  <c r="S71" i="35"/>
  <c r="T6" i="35" s="1"/>
  <c r="S83" i="35"/>
  <c r="T7" i="35" s="1"/>
  <c r="O8" i="35"/>
  <c r="P7" i="35"/>
  <c r="O4" i="35"/>
  <c r="P6" i="35"/>
  <c r="P4" i="35"/>
  <c r="Q4" i="35"/>
  <c r="O5" i="35"/>
  <c r="P3" i="35"/>
  <c r="Q6" i="35"/>
  <c r="G17" i="5"/>
  <c r="F17" i="5" s="1"/>
  <c r="G16" i="5"/>
  <c r="F16" i="5" s="1"/>
  <c r="G12" i="5"/>
  <c r="F12" i="5" s="1"/>
  <c r="S59" i="35"/>
  <c r="T5" i="35" s="1"/>
  <c r="D11" i="23"/>
  <c r="C11" i="23" s="1"/>
  <c r="J11" i="23" s="1"/>
  <c r="O3" i="35"/>
  <c r="Q5" i="35"/>
  <c r="S23" i="35"/>
  <c r="O6" i="24"/>
  <c r="P5" i="24"/>
  <c r="O7" i="24"/>
  <c r="Q7" i="24"/>
  <c r="Q3" i="55"/>
  <c r="O3" i="55"/>
  <c r="P3" i="55"/>
  <c r="P7" i="24"/>
  <c r="O7" i="35"/>
  <c r="Q6" i="24"/>
  <c r="O8" i="24"/>
  <c r="Q3" i="35"/>
  <c r="P4" i="24"/>
  <c r="P3" i="24"/>
  <c r="Q8" i="35"/>
  <c r="G23" i="5"/>
  <c r="I23" i="5" s="1"/>
  <c r="D13" i="19"/>
  <c r="P8" i="24"/>
  <c r="S47" i="35"/>
  <c r="T4" i="35" s="1"/>
  <c r="H111" i="4"/>
  <c r="F13" i="19"/>
  <c r="Q4" i="24"/>
  <c r="O4" i="24"/>
  <c r="O12" i="33"/>
  <c r="Q8" i="24"/>
  <c r="P8" i="35"/>
  <c r="O3" i="24"/>
  <c r="P6" i="24"/>
  <c r="O5" i="24"/>
  <c r="Q3" i="24"/>
  <c r="Q5" i="24"/>
  <c r="I13" i="5"/>
  <c r="P13" i="2" s="1"/>
  <c r="K7" i="2"/>
  <c r="B40" i="2" s="1"/>
  <c r="B39" i="2" s="1"/>
  <c r="B17" i="19" s="1"/>
  <c r="B27" i="5"/>
  <c r="P8" i="8"/>
  <c r="I14" i="5"/>
  <c r="P14" i="2" s="1"/>
  <c r="P6" i="54"/>
  <c r="P7" i="8"/>
  <c r="P23" i="34"/>
  <c r="Q14" i="34"/>
  <c r="O22" i="34"/>
  <c r="O21" i="34"/>
  <c r="P15" i="34"/>
  <c r="O15" i="34"/>
  <c r="Q21" i="34"/>
  <c r="Q15" i="34"/>
  <c r="P12" i="34"/>
  <c r="Q16" i="34"/>
  <c r="O12" i="34"/>
  <c r="O23" i="34"/>
  <c r="Q12" i="34"/>
  <c r="P20" i="34"/>
  <c r="O20" i="34"/>
  <c r="O16" i="34"/>
  <c r="R3" i="34"/>
  <c r="O17" i="34"/>
  <c r="Q22" i="34"/>
  <c r="P18" i="34"/>
  <c r="O14" i="34"/>
  <c r="P17" i="34"/>
  <c r="Q19" i="34"/>
  <c r="O19" i="34"/>
  <c r="P14" i="34"/>
  <c r="O13" i="34"/>
  <c r="Q20" i="34"/>
  <c r="P22" i="34"/>
  <c r="O18" i="34"/>
  <c r="P21" i="34"/>
  <c r="P16" i="34"/>
  <c r="Q13" i="34"/>
  <c r="P19" i="34"/>
  <c r="Q17" i="34"/>
  <c r="P13" i="34"/>
  <c r="Q18" i="34"/>
  <c r="Q23" i="34"/>
  <c r="Q7" i="54"/>
  <c r="O4" i="54"/>
  <c r="P3" i="54"/>
  <c r="E24" i="5"/>
  <c r="I20" i="5"/>
  <c r="P20" i="2" s="1"/>
  <c r="O7" i="8"/>
  <c r="Q3" i="54"/>
  <c r="Q4" i="54"/>
  <c r="P6" i="8"/>
  <c r="Q3" i="8"/>
  <c r="O6" i="54"/>
  <c r="Q5" i="54"/>
  <c r="P7" i="54"/>
  <c r="O5" i="54"/>
  <c r="P4" i="54"/>
  <c r="Q6" i="54"/>
  <c r="O7" i="54"/>
  <c r="P5" i="54"/>
  <c r="Q8" i="54"/>
  <c r="O3" i="54"/>
  <c r="O8" i="54"/>
  <c r="P8" i="54"/>
  <c r="Q6" i="8"/>
  <c r="P3" i="8"/>
  <c r="Q8" i="8"/>
  <c r="Q7" i="8"/>
  <c r="Q4" i="8"/>
  <c r="O4" i="8"/>
  <c r="O6" i="8"/>
  <c r="O5" i="8"/>
  <c r="Q5" i="8"/>
  <c r="O3" i="8"/>
  <c r="P5" i="8"/>
  <c r="P21" i="2"/>
  <c r="J21" i="5"/>
  <c r="K21" i="5" s="1"/>
  <c r="Q21" i="2" s="1"/>
  <c r="D9" i="6"/>
  <c r="C29" i="14" s="1"/>
  <c r="C37" i="16" s="1"/>
  <c r="O8" i="8"/>
  <c r="K12" i="37"/>
  <c r="E12" i="37"/>
  <c r="P4" i="8"/>
  <c r="E18" i="5"/>
  <c r="J22" i="5"/>
  <c r="K22" i="5" s="1"/>
  <c r="Q22" i="2" s="1"/>
  <c r="I10" i="5"/>
  <c r="J10" i="5" s="1"/>
  <c r="D12" i="56"/>
  <c r="I12" i="56"/>
  <c r="C11" i="21"/>
  <c r="J11" i="21" s="1"/>
  <c r="P11" i="21" s="1"/>
  <c r="E9" i="6" s="1"/>
  <c r="K11" i="21"/>
  <c r="Q11" i="21" s="1"/>
  <c r="E11" i="21"/>
  <c r="C12" i="55"/>
  <c r="J12" i="55" s="1"/>
  <c r="P24" i="55" s="1"/>
  <c r="B13" i="55"/>
  <c r="I14" i="55" s="1"/>
  <c r="O26" i="55" s="1"/>
  <c r="G38" i="16"/>
  <c r="F26" i="16"/>
  <c r="G18" i="14"/>
  <c r="I23" i="14"/>
  <c r="J23" i="14" s="1"/>
  <c r="AB16" i="62"/>
  <c r="AB36" i="62" s="1"/>
  <c r="AP4" i="42"/>
  <c r="I27" i="42" s="1"/>
  <c r="BY19" i="42"/>
  <c r="CB19" i="42" s="1"/>
  <c r="CD19" i="42" s="1"/>
  <c r="BI24" i="42"/>
  <c r="J19" i="18" s="1"/>
  <c r="AL24" i="42"/>
  <c r="J16" i="14"/>
  <c r="J24" i="16" s="1"/>
  <c r="X14" i="14"/>
  <c r="X21" i="16" s="1"/>
  <c r="BD14" i="42"/>
  <c r="D16" i="14"/>
  <c r="D24" i="16" s="1"/>
  <c r="BY16" i="42"/>
  <c r="CB16" i="42" s="1"/>
  <c r="CD16" i="42" s="1"/>
  <c r="BT16" i="42"/>
  <c r="BV16" i="42" s="1"/>
  <c r="W15" i="14"/>
  <c r="W22" i="16" s="1"/>
  <c r="BT18" i="42"/>
  <c r="BV18" i="42" s="1"/>
  <c r="BY18" i="42"/>
  <c r="Y15" i="14"/>
  <c r="Y22" i="16" s="1"/>
  <c r="AT24" i="42"/>
  <c r="AN14" i="42"/>
  <c r="T14" i="14"/>
  <c r="T21" i="16" s="1"/>
  <c r="V14" i="14"/>
  <c r="V21" i="16" s="1"/>
  <c r="U14" i="14"/>
  <c r="U21" i="16" s="1"/>
  <c r="E16" i="14"/>
  <c r="E24" i="16" s="1"/>
  <c r="AR23" i="42"/>
  <c r="AR24" i="42" s="1"/>
  <c r="U16" i="14" s="1"/>
  <c r="U24" i="16" s="1"/>
  <c r="AN23" i="42"/>
  <c r="BD23" i="42"/>
  <c r="AZ23" i="42"/>
  <c r="BN14" i="42"/>
  <c r="BL23" i="42"/>
  <c r="BL24" i="42" s="1"/>
  <c r="J20" i="18" s="1"/>
  <c r="CB17" i="42"/>
  <c r="CD17" i="42" s="1"/>
  <c r="BT22" i="42"/>
  <c r="BV22" i="42" s="1"/>
  <c r="BY22" i="42"/>
  <c r="D8" i="62"/>
  <c r="D7" i="62"/>
  <c r="C30" i="6"/>
  <c r="C78" i="6" s="1"/>
  <c r="C42" i="6"/>
  <c r="C54" i="6"/>
  <c r="C59" i="52"/>
  <c r="H21" i="12"/>
  <c r="H22" i="12" s="1"/>
  <c r="G22" i="12"/>
  <c r="I12" i="12"/>
  <c r="C46" i="6"/>
  <c r="H14" i="61"/>
  <c r="M61" i="16"/>
  <c r="G13" i="61"/>
  <c r="G20" i="12"/>
  <c r="C47" i="52"/>
  <c r="C35" i="52"/>
  <c r="L61" i="16"/>
  <c r="AD61" i="16"/>
  <c r="H17" i="12"/>
  <c r="G18" i="12"/>
  <c r="E61" i="16"/>
  <c r="C32" i="9"/>
  <c r="C80" i="9" s="1"/>
  <c r="C61" i="6"/>
  <c r="C44" i="9"/>
  <c r="C56" i="9"/>
  <c r="C31" i="9"/>
  <c r="C79" i="9" s="1"/>
  <c r="C34" i="9"/>
  <c r="C23" i="9"/>
  <c r="C71" i="9" s="1"/>
  <c r="C30" i="9"/>
  <c r="C78" i="9" s="1"/>
  <c r="G11" i="16"/>
  <c r="C54" i="9"/>
  <c r="C56" i="6"/>
  <c r="G61" i="16"/>
  <c r="C52" i="6"/>
  <c r="C55" i="52"/>
  <c r="C40" i="9"/>
  <c r="G15" i="61"/>
  <c r="H23" i="12"/>
  <c r="H24" i="12" s="1"/>
  <c r="G11" i="61"/>
  <c r="F17" i="61"/>
  <c r="C30" i="52"/>
  <c r="C78" i="52" s="1"/>
  <c r="C40" i="6"/>
  <c r="C28" i="6"/>
  <c r="C76" i="6" s="1"/>
  <c r="E11" i="16"/>
  <c r="C64" i="52"/>
  <c r="V61" i="16"/>
  <c r="L11" i="16"/>
  <c r="C55" i="9"/>
  <c r="G10" i="61"/>
  <c r="C31" i="52"/>
  <c r="C79" i="52" s="1"/>
  <c r="J61" i="16"/>
  <c r="F16" i="61"/>
  <c r="F25" i="61" s="1"/>
  <c r="AC61" i="16"/>
  <c r="C67" i="9"/>
  <c r="D11" i="16"/>
  <c r="C67" i="52"/>
  <c r="C25" i="52"/>
  <c r="C73" i="52" s="1"/>
  <c r="C37" i="52"/>
  <c r="C44" i="6"/>
  <c r="D37" i="12"/>
  <c r="C42" i="9"/>
  <c r="C64" i="9"/>
  <c r="J11" i="16"/>
  <c r="C49" i="52"/>
  <c r="C68" i="6"/>
  <c r="C59" i="9"/>
  <c r="C28" i="9"/>
  <c r="C76" i="9" s="1"/>
  <c r="AA61" i="16"/>
  <c r="C47" i="9"/>
  <c r="C42" i="52"/>
  <c r="C66" i="52"/>
  <c r="C23" i="6"/>
  <c r="C71" i="6" s="1"/>
  <c r="C59" i="6"/>
  <c r="C47" i="6"/>
  <c r="C35" i="6"/>
  <c r="G8" i="61"/>
  <c r="H10" i="12"/>
  <c r="H9" i="61"/>
  <c r="C22" i="6"/>
  <c r="C70" i="6" s="1"/>
  <c r="C52" i="52"/>
  <c r="C40" i="52"/>
  <c r="C58" i="6"/>
  <c r="C58" i="9"/>
  <c r="C49" i="6"/>
  <c r="C25" i="6"/>
  <c r="C73" i="6" s="1"/>
  <c r="D61" i="16"/>
  <c r="C46" i="9"/>
  <c r="M18" i="20"/>
  <c r="M24" i="20"/>
  <c r="N61" i="16"/>
  <c r="N11" i="16"/>
  <c r="AE61" i="16"/>
  <c r="U6" i="20"/>
  <c r="AF8" i="20"/>
  <c r="AR8" i="20"/>
  <c r="J7" i="18"/>
  <c r="N13" i="20"/>
  <c r="F18" i="20"/>
  <c r="G36" i="32"/>
  <c r="G24" i="53"/>
  <c r="M24" i="53" s="1"/>
  <c r="C68" i="52"/>
  <c r="C44" i="52"/>
  <c r="C56" i="52"/>
  <c r="C32" i="52"/>
  <c r="C80" i="52" s="1"/>
  <c r="C61" i="9"/>
  <c r="C37" i="9"/>
  <c r="C25" i="9"/>
  <c r="C73" i="9" s="1"/>
  <c r="C49" i="9"/>
  <c r="AV8" i="20"/>
  <c r="P7" i="18"/>
  <c r="AJ8" i="20"/>
  <c r="Y6" i="20"/>
  <c r="P8" i="7"/>
  <c r="O6" i="7"/>
  <c r="P7" i="7"/>
  <c r="Q8" i="7"/>
  <c r="V21" i="7"/>
  <c r="O8" i="7"/>
  <c r="P4" i="7"/>
  <c r="Q3" i="7"/>
  <c r="O5" i="7"/>
  <c r="K13" i="32"/>
  <c r="E13" i="32"/>
  <c r="P3" i="7"/>
  <c r="Q6" i="7"/>
  <c r="Q4" i="7"/>
  <c r="Q7" i="7"/>
  <c r="O4" i="7"/>
  <c r="P5" i="7"/>
  <c r="Q5" i="7"/>
  <c r="O7" i="7"/>
  <c r="P6" i="7"/>
  <c r="V23" i="7"/>
  <c r="T20" i="14"/>
  <c r="S21" i="14"/>
  <c r="S22" i="14" s="1"/>
  <c r="T27" i="16"/>
  <c r="U19" i="14"/>
  <c r="F28" i="16"/>
  <c r="B7" i="19"/>
  <c r="D10" i="63" s="1"/>
  <c r="B7" i="2"/>
  <c r="H26" i="14"/>
  <c r="G34" i="16"/>
  <c r="Y38" i="16"/>
  <c r="F50" i="16"/>
  <c r="X28" i="14"/>
  <c r="X36" i="16" s="1"/>
  <c r="G36" i="16"/>
  <c r="H28" i="14"/>
  <c r="F32" i="16"/>
  <c r="G24" i="14"/>
  <c r="G28" i="16"/>
  <c r="H20" i="14"/>
  <c r="H19" i="14"/>
  <c r="G27" i="16"/>
  <c r="I33" i="16"/>
  <c r="J25" i="14"/>
  <c r="F35" i="16"/>
  <c r="F35" i="18"/>
  <c r="T61" i="16"/>
  <c r="C11" i="16"/>
  <c r="C61" i="16"/>
  <c r="C63" i="9"/>
  <c r="C51" i="9"/>
  <c r="C27" i="9"/>
  <c r="C75" i="9" s="1"/>
  <c r="C39" i="9"/>
  <c r="C34" i="52"/>
  <c r="C58" i="52"/>
  <c r="C46" i="52"/>
  <c r="C22" i="52"/>
  <c r="C70" i="52" s="1"/>
  <c r="C21" i="9"/>
  <c r="C69" i="9" s="1"/>
  <c r="C57" i="9"/>
  <c r="C45" i="9"/>
  <c r="C33" i="9"/>
  <c r="Y48" i="61"/>
  <c r="Y65" i="61" s="1"/>
  <c r="Y24" i="61"/>
  <c r="T9" i="14"/>
  <c r="T11" i="16" s="1"/>
  <c r="W90" i="12"/>
  <c r="Y7" i="61"/>
  <c r="W36" i="12"/>
  <c r="W54" i="12" s="1"/>
  <c r="C57" i="52"/>
  <c r="C33" i="52"/>
  <c r="C45" i="52"/>
  <c r="C21" i="52"/>
  <c r="C69" i="52" s="1"/>
  <c r="C60" i="6"/>
  <c r="C48" i="6"/>
  <c r="C24" i="6"/>
  <c r="C72" i="6" s="1"/>
  <c r="C36" i="6"/>
  <c r="C26" i="6"/>
  <c r="C74" i="6" s="1"/>
  <c r="C62" i="6"/>
  <c r="C38" i="6"/>
  <c r="C50" i="6"/>
  <c r="C26" i="52"/>
  <c r="C74" i="52" s="1"/>
  <c r="C38" i="52"/>
  <c r="C62" i="52"/>
  <c r="C50" i="52"/>
  <c r="C24" i="9"/>
  <c r="C72" i="9" s="1"/>
  <c r="C48" i="9"/>
  <c r="C36" i="9"/>
  <c r="C60" i="9"/>
  <c r="C57" i="6"/>
  <c r="C45" i="6"/>
  <c r="C33" i="6"/>
  <c r="C21" i="6"/>
  <c r="C69" i="6" s="1"/>
  <c r="C63" i="6"/>
  <c r="C39" i="6"/>
  <c r="C27" i="6"/>
  <c r="C75" i="6" s="1"/>
  <c r="C51" i="6"/>
  <c r="I11" i="16"/>
  <c r="I61" i="16"/>
  <c r="Z61" i="16"/>
  <c r="F11" i="16"/>
  <c r="W61" i="16"/>
  <c r="F61" i="16"/>
  <c r="C63" i="52"/>
  <c r="C51" i="52"/>
  <c r="C39" i="52"/>
  <c r="C27" i="52"/>
  <c r="C75" i="52" s="1"/>
  <c r="C36" i="52"/>
  <c r="C48" i="52"/>
  <c r="C24" i="52"/>
  <c r="C72" i="52" s="1"/>
  <c r="C60" i="52"/>
  <c r="H61" i="16"/>
  <c r="H11" i="16"/>
  <c r="Y61" i="16"/>
  <c r="C50" i="9"/>
  <c r="C26" i="9"/>
  <c r="C74" i="9" s="1"/>
  <c r="C62" i="9"/>
  <c r="C38" i="9"/>
  <c r="O21" i="16"/>
  <c r="C12" i="54"/>
  <c r="J12" i="54" s="1"/>
  <c r="B13" i="54"/>
  <c r="I13" i="54" s="1"/>
  <c r="J27" i="19"/>
  <c r="K11" i="8"/>
  <c r="E11" i="8"/>
  <c r="H31" i="19"/>
  <c r="K12" i="53"/>
  <c r="Q12" i="53" s="1"/>
  <c r="F9" i="52" s="1"/>
  <c r="E12" i="53"/>
  <c r="B6" i="40"/>
  <c r="B32" i="40" s="1"/>
  <c r="B21" i="19"/>
  <c r="H16" i="14"/>
  <c r="H24" i="16" s="1"/>
  <c r="F16" i="14"/>
  <c r="F24" i="16" s="1"/>
  <c r="G16" i="14"/>
  <c r="G24" i="16" s="1"/>
  <c r="AD15" i="14"/>
  <c r="AD22" i="16" s="1"/>
  <c r="AC15" i="14"/>
  <c r="AC22" i="16" s="1"/>
  <c r="AE15" i="14"/>
  <c r="AE22" i="16" s="1"/>
  <c r="BT14" i="42"/>
  <c r="BV10" i="42"/>
  <c r="BV13" i="42"/>
  <c r="CB13" i="42"/>
  <c r="CD13" i="42" s="1"/>
  <c r="AV23" i="42"/>
  <c r="AV24" i="42" s="1"/>
  <c r="CB10" i="42"/>
  <c r="N16" i="14"/>
  <c r="N24" i="16" s="1"/>
  <c r="L16" i="14"/>
  <c r="L24" i="16" s="1"/>
  <c r="M16" i="14"/>
  <c r="M24" i="16" s="1"/>
  <c r="BT21" i="42"/>
  <c r="BV21" i="42" s="1"/>
  <c r="BY21" i="42"/>
  <c r="BQ23" i="42"/>
  <c r="BQ24" i="42" s="1"/>
  <c r="CB11" i="42"/>
  <c r="CD11" i="42" s="1"/>
  <c r="BV11" i="42"/>
  <c r="T15" i="14"/>
  <c r="V15" i="14"/>
  <c r="V22" i="16" s="1"/>
  <c r="U15" i="14"/>
  <c r="O14" i="14"/>
  <c r="AC14" i="14"/>
  <c r="AC21" i="16" s="1"/>
  <c r="AD14" i="14"/>
  <c r="AD21" i="16" s="1"/>
  <c r="AE14" i="14"/>
  <c r="AE21" i="16" s="1"/>
  <c r="BB24" i="42"/>
  <c r="AX24" i="42"/>
  <c r="Z14" i="14"/>
  <c r="Z21" i="16" s="1"/>
  <c r="AB14" i="14"/>
  <c r="AB21" i="16" s="1"/>
  <c r="AA14" i="14"/>
  <c r="AA21" i="16" s="1"/>
  <c r="CC23" i="42"/>
  <c r="CC24" i="42" s="1"/>
  <c r="BU23" i="42"/>
  <c r="BU24" i="42" s="1"/>
  <c r="AI18" i="42"/>
  <c r="G18" i="42"/>
  <c r="F19" i="42"/>
  <c r="C22" i="16"/>
  <c r="O22" i="16" s="1"/>
  <c r="O15" i="14"/>
  <c r="Z15" i="14"/>
  <c r="Z22" i="16" s="1"/>
  <c r="AB15" i="14"/>
  <c r="AB22" i="16" s="1"/>
  <c r="AA15" i="14"/>
  <c r="AA22" i="16" s="1"/>
  <c r="H19" i="12"/>
  <c r="D36" i="61"/>
  <c r="D37" i="61" s="1"/>
  <c r="C10" i="14"/>
  <c r="H14" i="12"/>
  <c r="H16" i="12"/>
  <c r="H18" i="5"/>
  <c r="B44" i="18"/>
  <c r="F41" i="18"/>
  <c r="D14" i="19"/>
  <c r="D113" i="4"/>
  <c r="I12" i="7"/>
  <c r="O38" i="36"/>
  <c r="O83" i="36"/>
  <c r="Q29" i="36"/>
  <c r="O58" i="36"/>
  <c r="P43" i="36"/>
  <c r="Q76" i="36"/>
  <c r="Q63" i="36"/>
  <c r="Q34" i="36"/>
  <c r="Q13" i="36"/>
  <c r="O46" i="36"/>
  <c r="O47" i="36"/>
  <c r="O41" i="36"/>
  <c r="P31" i="36"/>
  <c r="Q30" i="36"/>
  <c r="P61" i="36"/>
  <c r="P32" i="36"/>
  <c r="P18" i="36"/>
  <c r="Q22" i="36"/>
  <c r="O74" i="36"/>
  <c r="P45" i="36"/>
  <c r="O49" i="36"/>
  <c r="O57" i="36"/>
  <c r="Q57" i="36"/>
  <c r="P64" i="36"/>
  <c r="P29" i="36"/>
  <c r="O29" i="36"/>
  <c r="P42" i="36"/>
  <c r="Q61" i="36"/>
  <c r="P72" i="36"/>
  <c r="O52" i="36"/>
  <c r="P78" i="36"/>
  <c r="P20" i="36"/>
  <c r="Q67" i="36"/>
  <c r="P69" i="36"/>
  <c r="Q46" i="36"/>
  <c r="P36" i="36"/>
  <c r="O59" i="36"/>
  <c r="P39" i="36"/>
  <c r="P17" i="36"/>
  <c r="P19" i="36"/>
  <c r="O51" i="36"/>
  <c r="P16" i="36"/>
  <c r="R8" i="36"/>
  <c r="Q75" i="36"/>
  <c r="Q52" i="36"/>
  <c r="O62" i="36"/>
  <c r="P58" i="36"/>
  <c r="P83" i="36"/>
  <c r="O67" i="36"/>
  <c r="O36" i="36"/>
  <c r="P26" i="36"/>
  <c r="O50" i="36"/>
  <c r="O39" i="36"/>
  <c r="Q41" i="36"/>
  <c r="Q66" i="36"/>
  <c r="O21" i="36"/>
  <c r="O54" i="36"/>
  <c r="O78" i="36"/>
  <c r="O61" i="36"/>
  <c r="Q78" i="36"/>
  <c r="P33" i="36"/>
  <c r="O75" i="36"/>
  <c r="Q28" i="36"/>
  <c r="O60" i="36"/>
  <c r="O77" i="36"/>
  <c r="Q16" i="36"/>
  <c r="P59" i="36"/>
  <c r="Q44" i="36"/>
  <c r="Q49" i="36"/>
  <c r="O45" i="36"/>
  <c r="P34" i="36"/>
  <c r="P49" i="36"/>
  <c r="Q39" i="36"/>
  <c r="O40" i="36"/>
  <c r="O27" i="36"/>
  <c r="O31" i="36"/>
  <c r="Q33" i="36"/>
  <c r="P21" i="36"/>
  <c r="O22" i="36"/>
  <c r="P54" i="36"/>
  <c r="Q79" i="36"/>
  <c r="Q54" i="36"/>
  <c r="Q71" i="36"/>
  <c r="O28" i="36"/>
  <c r="O70" i="36"/>
  <c r="P60" i="36"/>
  <c r="Q47" i="36"/>
  <c r="Q64" i="36"/>
  <c r="Q72" i="36"/>
  <c r="O66" i="36"/>
  <c r="R3" i="36"/>
  <c r="Q15" i="36"/>
  <c r="O42" i="36"/>
  <c r="Q55" i="36"/>
  <c r="Q77" i="36"/>
  <c r="O55" i="36"/>
  <c r="Q73" i="36"/>
  <c r="Q59" i="36"/>
  <c r="P77" i="36"/>
  <c r="Q48" i="36"/>
  <c r="Q14" i="36"/>
  <c r="P70" i="36"/>
  <c r="O71" i="36"/>
  <c r="P55" i="36"/>
  <c r="P68" i="36"/>
  <c r="P44" i="36"/>
  <c r="R4" i="36"/>
  <c r="O76" i="36"/>
  <c r="O33" i="36"/>
  <c r="P81" i="36"/>
  <c r="P63" i="36"/>
  <c r="O65" i="36"/>
  <c r="P53" i="36"/>
  <c r="Q68" i="36"/>
  <c r="P27" i="36"/>
  <c r="R6" i="36"/>
  <c r="P51" i="36"/>
  <c r="O82" i="36"/>
  <c r="P15" i="36"/>
  <c r="O20" i="36"/>
  <c r="Q83" i="36"/>
  <c r="Q81" i="36"/>
  <c r="O26" i="36"/>
  <c r="O16" i="36"/>
  <c r="P75" i="36"/>
  <c r="P23" i="36"/>
  <c r="Q37" i="36"/>
  <c r="Q82" i="36"/>
  <c r="Q24" i="36"/>
  <c r="Q27" i="36"/>
  <c r="Q45" i="36"/>
  <c r="Q62" i="36"/>
  <c r="O73" i="36"/>
  <c r="O30" i="36"/>
  <c r="P74" i="36"/>
  <c r="O23" i="36"/>
  <c r="Q69" i="36"/>
  <c r="Q60" i="36"/>
  <c r="P52" i="36"/>
  <c r="P57" i="36"/>
  <c r="Q58" i="36"/>
  <c r="Q23" i="36"/>
  <c r="P22" i="36"/>
  <c r="Q25" i="36"/>
  <c r="O80" i="36"/>
  <c r="O68" i="36"/>
  <c r="R7" i="36"/>
  <c r="P80" i="36"/>
  <c r="P67" i="36"/>
  <c r="Q51" i="36"/>
  <c r="P30" i="36"/>
  <c r="O35" i="36"/>
  <c r="R5" i="36"/>
  <c r="P14" i="36"/>
  <c r="O32" i="36"/>
  <c r="Q38" i="36"/>
  <c r="Q74" i="36"/>
  <c r="Q80" i="36"/>
  <c r="O37" i="36"/>
  <c r="O14" i="36"/>
  <c r="Q40" i="36"/>
  <c r="P73" i="36"/>
  <c r="P76" i="36"/>
  <c r="P47" i="36"/>
  <c r="O24" i="36"/>
  <c r="Q26" i="36"/>
  <c r="Q36" i="36"/>
  <c r="Q42" i="36"/>
  <c r="O63" i="36"/>
  <c r="P37" i="36"/>
  <c r="P79" i="36"/>
  <c r="O56" i="36"/>
  <c r="O15" i="36"/>
  <c r="O25" i="36"/>
  <c r="Q20" i="36"/>
  <c r="O64" i="36"/>
  <c r="P50" i="36"/>
  <c r="O13" i="36"/>
  <c r="O44" i="36"/>
  <c r="P41" i="36"/>
  <c r="P82" i="36"/>
  <c r="Q65" i="36"/>
  <c r="Q35" i="36"/>
  <c r="O12" i="36"/>
  <c r="O18" i="36"/>
  <c r="Q17" i="36"/>
  <c r="P48" i="36"/>
  <c r="P62" i="36"/>
  <c r="O43" i="36"/>
  <c r="P71" i="36"/>
  <c r="P66" i="36"/>
  <c r="P12" i="36"/>
  <c r="Q56" i="36"/>
  <c r="P38" i="36"/>
  <c r="P13" i="36"/>
  <c r="Q70" i="36"/>
  <c r="Q50" i="36"/>
  <c r="Q19" i="36"/>
  <c r="P65" i="36"/>
  <c r="P28" i="36"/>
  <c r="Q21" i="36"/>
  <c r="O19" i="36"/>
  <c r="P46" i="36"/>
  <c r="O81" i="36"/>
  <c r="O34" i="36"/>
  <c r="P40" i="36"/>
  <c r="P35" i="36"/>
  <c r="P56" i="36"/>
  <c r="Q53" i="36"/>
  <c r="Q31" i="36"/>
  <c r="Q43" i="36"/>
  <c r="O53" i="36"/>
  <c r="O17" i="36"/>
  <c r="Q32" i="36"/>
  <c r="P25" i="36"/>
  <c r="Q12" i="36"/>
  <c r="Q18" i="36"/>
  <c r="P24" i="36"/>
  <c r="O48" i="36"/>
  <c r="O72" i="36"/>
  <c r="O79" i="36"/>
  <c r="O69" i="36"/>
  <c r="H34" i="19"/>
  <c r="H38" i="16"/>
  <c r="C38" i="16"/>
  <c r="J110" i="4"/>
  <c r="H12" i="19"/>
  <c r="B13" i="7"/>
  <c r="E13" i="7"/>
  <c r="D13" i="7"/>
  <c r="C13" i="7"/>
  <c r="J13" i="7" s="1"/>
  <c r="P24" i="20"/>
  <c r="P18" i="20"/>
  <c r="U3" i="32"/>
  <c r="I31" i="16"/>
  <c r="Z18" i="14"/>
  <c r="Y26" i="16"/>
  <c r="K12" i="7"/>
  <c r="H24" i="5"/>
  <c r="B12" i="36"/>
  <c r="G12" i="36"/>
  <c r="G24" i="36" s="1"/>
  <c r="G36" i="36" s="1"/>
  <c r="G48" i="36" s="1"/>
  <c r="G60" i="36" s="1"/>
  <c r="S4" i="32"/>
  <c r="R36" i="32"/>
  <c r="R37" i="32" s="1"/>
  <c r="R38" i="32" s="1"/>
  <c r="R39" i="32" s="1"/>
  <c r="R40" i="32" s="1"/>
  <c r="R41" i="32" s="1"/>
  <c r="R42" i="32" s="1"/>
  <c r="R43" i="32" s="1"/>
  <c r="R44" i="32" s="1"/>
  <c r="R45" i="32" s="1"/>
  <c r="R46" i="32" s="1"/>
  <c r="R47" i="32" s="1"/>
  <c r="BC24" i="42" l="1"/>
  <c r="AC17" i="16" s="1"/>
  <c r="AD17" i="16" s="1"/>
  <c r="AE17" i="16" s="1"/>
  <c r="AZ24" i="42"/>
  <c r="Z16" i="14" s="1"/>
  <c r="Z24" i="16" s="1"/>
  <c r="X19" i="18"/>
  <c r="BC66" i="4"/>
  <c r="AY24" i="42"/>
  <c r="Z17" i="16" s="1"/>
  <c r="AA17" i="16" s="1"/>
  <c r="AB17" i="16" s="1"/>
  <c r="BD24" i="42"/>
  <c r="AC16" i="14" s="1"/>
  <c r="AC24" i="16" s="1"/>
  <c r="J12" i="12"/>
  <c r="B45" i="19"/>
  <c r="P50" i="16"/>
  <c r="T50" i="16" s="1"/>
  <c r="O17" i="16"/>
  <c r="U17" i="16"/>
  <c r="V17" i="16" s="1"/>
  <c r="B13" i="33"/>
  <c r="I13" i="33" s="1"/>
  <c r="O13" i="33" s="1"/>
  <c r="I4" i="62"/>
  <c r="I31" i="61"/>
  <c r="I46" i="61" s="1"/>
  <c r="AH8" i="20"/>
  <c r="W6" i="20"/>
  <c r="AT8" i="20"/>
  <c r="M7" i="18"/>
  <c r="D24" i="20"/>
  <c r="D18" i="20"/>
  <c r="L18" i="20" s="1"/>
  <c r="L13" i="20"/>
  <c r="G18" i="20"/>
  <c r="O13" i="20"/>
  <c r="B12" i="34"/>
  <c r="D12" i="34" s="1"/>
  <c r="Q7" i="37"/>
  <c r="Q4" i="37"/>
  <c r="O8" i="37"/>
  <c r="AZ66" i="4"/>
  <c r="O6" i="37"/>
  <c r="P4" i="37"/>
  <c r="P5" i="37"/>
  <c r="Q3" i="37"/>
  <c r="P7" i="37"/>
  <c r="O3" i="37"/>
  <c r="Q5" i="37"/>
  <c r="O4" i="37"/>
  <c r="Q6" i="37"/>
  <c r="Q8" i="37"/>
  <c r="P8" i="37"/>
  <c r="P6" i="37"/>
  <c r="O7" i="37"/>
  <c r="O5" i="37"/>
  <c r="P3" i="37"/>
  <c r="AW66" i="4"/>
  <c r="F9" i="6"/>
  <c r="C41" i="16" s="1"/>
  <c r="J11" i="5"/>
  <c r="K11" i="5" s="1"/>
  <c r="L11" i="5" s="1"/>
  <c r="M11" i="5" s="1"/>
  <c r="R11" i="2" s="1"/>
  <c r="D12" i="35"/>
  <c r="I17" i="5"/>
  <c r="P17" i="2" s="1"/>
  <c r="C12" i="48"/>
  <c r="J12" i="48" s="1"/>
  <c r="P12" i="48" s="1"/>
  <c r="E9" i="9" s="1"/>
  <c r="AB66" i="4"/>
  <c r="I16" i="5"/>
  <c r="P16" i="2" s="1"/>
  <c r="J14" i="5"/>
  <c r="K14" i="5" s="1"/>
  <c r="Q14" i="2" s="1"/>
  <c r="R24" i="35"/>
  <c r="R25" i="35" s="1"/>
  <c r="R26" i="35" s="1"/>
  <c r="R27" i="35" s="1"/>
  <c r="R28" i="35" s="1"/>
  <c r="R29" i="35" s="1"/>
  <c r="R30" i="35" s="1"/>
  <c r="R31" i="35" s="1"/>
  <c r="R32" i="35" s="1"/>
  <c r="R33" i="35" s="1"/>
  <c r="R34" i="35" s="1"/>
  <c r="R35" i="35" s="1"/>
  <c r="R36" i="35" s="1"/>
  <c r="R37" i="35" s="1"/>
  <c r="R38" i="35" s="1"/>
  <c r="R39" i="35" s="1"/>
  <c r="R40" i="35" s="1"/>
  <c r="R41" i="35" s="1"/>
  <c r="R42" i="35" s="1"/>
  <c r="R43" i="35" s="1"/>
  <c r="R44" i="35" s="1"/>
  <c r="R45" i="35" s="1"/>
  <c r="R46" i="35" s="1"/>
  <c r="R47" i="35" s="1"/>
  <c r="S3" i="35"/>
  <c r="U3" i="35" s="1"/>
  <c r="E11" i="22"/>
  <c r="C12" i="22" s="1"/>
  <c r="J12" i="22" s="1"/>
  <c r="K11" i="22"/>
  <c r="E11" i="24"/>
  <c r="E12" i="24" s="1"/>
  <c r="K11" i="24"/>
  <c r="G41" i="4"/>
  <c r="D115" i="4"/>
  <c r="J15" i="5"/>
  <c r="P23" i="2"/>
  <c r="P19" i="2" s="1"/>
  <c r="J23" i="5"/>
  <c r="K23" i="5" s="1"/>
  <c r="Q23" i="2" s="1"/>
  <c r="I12" i="5"/>
  <c r="E11" i="23"/>
  <c r="K11" i="23"/>
  <c r="J13" i="5"/>
  <c r="K13" i="5" s="1"/>
  <c r="Q13" i="2" s="1"/>
  <c r="J111" i="4"/>
  <c r="H13" i="19"/>
  <c r="B42" i="2"/>
  <c r="B32" i="2" s="1"/>
  <c r="I24" i="5"/>
  <c r="E108" i="4" s="1"/>
  <c r="O3" i="34"/>
  <c r="P10" i="2"/>
  <c r="R12" i="34"/>
  <c r="R13" i="34" s="1"/>
  <c r="R14" i="34" s="1"/>
  <c r="R15" i="34" s="1"/>
  <c r="R16" i="34" s="1"/>
  <c r="R17" i="34" s="1"/>
  <c r="R18" i="34" s="1"/>
  <c r="R19" i="34" s="1"/>
  <c r="R20" i="34" s="1"/>
  <c r="R21" i="34" s="1"/>
  <c r="R22" i="34" s="1"/>
  <c r="R23" i="34" s="1"/>
  <c r="S23" i="34"/>
  <c r="Q3" i="34"/>
  <c r="P3" i="34"/>
  <c r="J20" i="5"/>
  <c r="E27" i="5"/>
  <c r="B13" i="37"/>
  <c r="C12" i="37"/>
  <c r="J12" i="37" s="1"/>
  <c r="B12" i="21"/>
  <c r="I12" i="21" s="1"/>
  <c r="O12" i="21" s="1"/>
  <c r="K12" i="56"/>
  <c r="E12" i="56"/>
  <c r="D13" i="55"/>
  <c r="K14" i="55" s="1"/>
  <c r="Q26" i="55" s="1"/>
  <c r="I15" i="55"/>
  <c r="O27" i="55" s="1"/>
  <c r="H18" i="14"/>
  <c r="G26" i="16"/>
  <c r="T16" i="14"/>
  <c r="T24" i="16" s="1"/>
  <c r="AN24" i="42"/>
  <c r="AG50" i="16"/>
  <c r="AB16" i="14"/>
  <c r="AB24" i="16" s="1"/>
  <c r="V16" i="14"/>
  <c r="V24" i="16" s="1"/>
  <c r="CB18" i="42"/>
  <c r="CD18" i="42" s="1"/>
  <c r="BV14" i="42"/>
  <c r="M19" i="18"/>
  <c r="O19" i="18" s="1"/>
  <c r="BN23" i="42"/>
  <c r="BN24" i="42" s="1"/>
  <c r="CB22" i="42"/>
  <c r="CD22" i="42" s="1"/>
  <c r="I21" i="12"/>
  <c r="J21" i="12" s="1"/>
  <c r="J22" i="12" s="1"/>
  <c r="D10" i="62"/>
  <c r="I9" i="61"/>
  <c r="H13" i="61"/>
  <c r="H20" i="12"/>
  <c r="H12" i="61"/>
  <c r="H18" i="12"/>
  <c r="I17" i="12"/>
  <c r="J62" i="12"/>
  <c r="E27" i="12"/>
  <c r="E25" i="12"/>
  <c r="E56" i="12"/>
  <c r="I61" i="12"/>
  <c r="K63" i="12"/>
  <c r="H60" i="12"/>
  <c r="G17" i="61"/>
  <c r="H15" i="61"/>
  <c r="I23" i="12"/>
  <c r="I24" i="12" s="1"/>
  <c r="G16" i="61"/>
  <c r="G25" i="61" s="1"/>
  <c r="H11" i="61"/>
  <c r="L64" i="12"/>
  <c r="G59" i="12"/>
  <c r="H10" i="61"/>
  <c r="H8" i="61"/>
  <c r="I10" i="12"/>
  <c r="K10" i="5"/>
  <c r="Q10" i="2" s="1"/>
  <c r="N18" i="20"/>
  <c r="N24" i="20"/>
  <c r="G36" i="53"/>
  <c r="M36" i="53" s="1"/>
  <c r="G48" i="32"/>
  <c r="P21" i="16"/>
  <c r="B14" i="32"/>
  <c r="C13" i="32"/>
  <c r="J13" i="32" s="1"/>
  <c r="U27" i="16"/>
  <c r="V19" i="14"/>
  <c r="W22" i="14"/>
  <c r="W30" i="16" s="1"/>
  <c r="V22" i="14"/>
  <c r="V30" i="16" s="1"/>
  <c r="Z22" i="14"/>
  <c r="Z30" i="16" s="1"/>
  <c r="T22" i="14"/>
  <c r="U22" i="14"/>
  <c r="U30" i="16" s="1"/>
  <c r="AE22" i="14"/>
  <c r="AE30" i="16" s="1"/>
  <c r="Y22" i="14"/>
  <c r="Y30" i="16" s="1"/>
  <c r="X22" i="14"/>
  <c r="X30" i="16" s="1"/>
  <c r="AC22" i="14"/>
  <c r="AC30" i="16" s="1"/>
  <c r="AB22" i="14"/>
  <c r="AB30" i="16" s="1"/>
  <c r="AA22" i="14"/>
  <c r="AA30" i="16" s="1"/>
  <c r="AD22" i="14"/>
  <c r="AD30" i="16" s="1"/>
  <c r="S23" i="14"/>
  <c r="U22" i="16"/>
  <c r="U20" i="14"/>
  <c r="T28" i="16"/>
  <c r="O24" i="16"/>
  <c r="I26" i="14"/>
  <c r="H34" i="16"/>
  <c r="Z38" i="16"/>
  <c r="D19" i="18"/>
  <c r="H28" i="16"/>
  <c r="I20" i="14"/>
  <c r="Y28" i="14"/>
  <c r="I28" i="14"/>
  <c r="H36" i="16"/>
  <c r="K25" i="14"/>
  <c r="J33" i="16"/>
  <c r="G32" i="16"/>
  <c r="H24" i="14"/>
  <c r="G35" i="16"/>
  <c r="I19" i="14"/>
  <c r="H27" i="16"/>
  <c r="AF21" i="16"/>
  <c r="L27" i="19"/>
  <c r="D13" i="54"/>
  <c r="K13" i="54" s="1"/>
  <c r="B13" i="53"/>
  <c r="I13" i="53" s="1"/>
  <c r="O13" i="53" s="1"/>
  <c r="D10" i="52" s="1"/>
  <c r="C12" i="53"/>
  <c r="J12" i="53" s="1"/>
  <c r="P12" i="53" s="1"/>
  <c r="B12" i="8"/>
  <c r="I12" i="8" s="1"/>
  <c r="C12" i="8"/>
  <c r="J12" i="8" s="1"/>
  <c r="D12" i="8"/>
  <c r="K12" i="8" s="1"/>
  <c r="E12" i="8"/>
  <c r="D21" i="19"/>
  <c r="B20" i="19"/>
  <c r="D16" i="63" s="1"/>
  <c r="J31" i="19"/>
  <c r="L22" i="5"/>
  <c r="M22" i="5" s="1"/>
  <c r="R22" i="2" s="1"/>
  <c r="C30" i="40"/>
  <c r="C19" i="40"/>
  <c r="C11" i="40"/>
  <c r="C10" i="40"/>
  <c r="C15" i="40"/>
  <c r="C21" i="40"/>
  <c r="C20" i="40"/>
  <c r="C6" i="40"/>
  <c r="C26" i="40"/>
  <c r="C24" i="40"/>
  <c r="C7" i="40"/>
  <c r="C9" i="40"/>
  <c r="C27" i="40"/>
  <c r="C17" i="40"/>
  <c r="C25" i="40"/>
  <c r="C23" i="40"/>
  <c r="C28" i="40"/>
  <c r="C22" i="40"/>
  <c r="C18" i="40"/>
  <c r="C32" i="40"/>
  <c r="C14" i="40"/>
  <c r="C13" i="40"/>
  <c r="C16" i="40"/>
  <c r="C12" i="40"/>
  <c r="C8" i="40"/>
  <c r="C29" i="40"/>
  <c r="D13" i="48"/>
  <c r="I13" i="48"/>
  <c r="O13" i="48" s="1"/>
  <c r="W16" i="14"/>
  <c r="X16" i="14"/>
  <c r="X24" i="16" s="1"/>
  <c r="Y16" i="14"/>
  <c r="Y24" i="16" s="1"/>
  <c r="BV23" i="42"/>
  <c r="AF14" i="14"/>
  <c r="E23" i="42"/>
  <c r="E24" i="42" s="1"/>
  <c r="G19" i="42"/>
  <c r="F20" i="42"/>
  <c r="AI19" i="42"/>
  <c r="CB21" i="42"/>
  <c r="BY23" i="42"/>
  <c r="BY24" i="42" s="1"/>
  <c r="P19" i="18" s="1"/>
  <c r="O16" i="14"/>
  <c r="D20" i="18" s="1"/>
  <c r="T22" i="16"/>
  <c r="AF15" i="14"/>
  <c r="BT23" i="42"/>
  <c r="BT24" i="42" s="1"/>
  <c r="M20" i="18" s="1"/>
  <c r="CD10" i="42"/>
  <c r="CD14" i="42" s="1"/>
  <c r="CB14" i="42"/>
  <c r="I19" i="12"/>
  <c r="I16" i="12"/>
  <c r="D134" i="12"/>
  <c r="D38" i="61"/>
  <c r="D41" i="61"/>
  <c r="I14" i="12"/>
  <c r="K21" i="12"/>
  <c r="U4" i="32"/>
  <c r="I13" i="7"/>
  <c r="K110" i="4"/>
  <c r="L12" i="19" s="1"/>
  <c r="J12" i="19"/>
  <c r="I38" i="16"/>
  <c r="P4" i="36"/>
  <c r="Q7" i="36"/>
  <c r="P7" i="36"/>
  <c r="O5" i="36"/>
  <c r="AH23" i="42"/>
  <c r="AH24" i="42" s="1"/>
  <c r="D12" i="36"/>
  <c r="I12" i="36"/>
  <c r="J31" i="16"/>
  <c r="K23" i="14"/>
  <c r="O4" i="36"/>
  <c r="Q4" i="36"/>
  <c r="Q8" i="36"/>
  <c r="P8" i="36"/>
  <c r="H27" i="5"/>
  <c r="Z26" i="16"/>
  <c r="AA18" i="14"/>
  <c r="K13" i="7"/>
  <c r="O8" i="36"/>
  <c r="Q3" i="36"/>
  <c r="F9" i="9"/>
  <c r="P3" i="36"/>
  <c r="O3" i="36"/>
  <c r="D9" i="9"/>
  <c r="Q6" i="36"/>
  <c r="O7" i="36"/>
  <c r="P5" i="36"/>
  <c r="S5" i="32"/>
  <c r="R48" i="32"/>
  <c r="R49" i="32" s="1"/>
  <c r="R50" i="32" s="1"/>
  <c r="R51" i="32" s="1"/>
  <c r="R52" i="32" s="1"/>
  <c r="R53" i="32" s="1"/>
  <c r="R54" i="32" s="1"/>
  <c r="R55" i="32" s="1"/>
  <c r="R56" i="32" s="1"/>
  <c r="R57" i="32" s="1"/>
  <c r="R58" i="32" s="1"/>
  <c r="R59" i="32" s="1"/>
  <c r="C14" i="7"/>
  <c r="J14" i="7" s="1"/>
  <c r="D14" i="7"/>
  <c r="B14" i="7"/>
  <c r="E14" i="7"/>
  <c r="J34" i="19"/>
  <c r="O6" i="36"/>
  <c r="P6" i="36"/>
  <c r="Q5" i="36"/>
  <c r="C44" i="18"/>
  <c r="B46" i="18"/>
  <c r="F44" i="18"/>
  <c r="L21" i="5"/>
  <c r="AA16" i="14" l="1"/>
  <c r="AA24" i="16" s="1"/>
  <c r="AD16" i="14"/>
  <c r="AD24" i="16" s="1"/>
  <c r="K12" i="12"/>
  <c r="J9" i="61"/>
  <c r="D13" i="33"/>
  <c r="K13" i="33" s="1"/>
  <c r="Q13" i="33" s="1"/>
  <c r="R13" i="33" s="1"/>
  <c r="AE16" i="14"/>
  <c r="AE24" i="16" s="1"/>
  <c r="I22" i="12"/>
  <c r="AF17" i="16"/>
  <c r="W50" i="16"/>
  <c r="I12" i="34"/>
  <c r="O24" i="34" s="1"/>
  <c r="J14" i="61"/>
  <c r="O18" i="20"/>
  <c r="O24" i="20"/>
  <c r="I16" i="62"/>
  <c r="I36" i="62" s="1"/>
  <c r="O4" i="42"/>
  <c r="H27" i="42" s="1"/>
  <c r="D22" i="63"/>
  <c r="D28" i="63"/>
  <c r="E23" i="64" s="1"/>
  <c r="Q20" i="63"/>
  <c r="D21" i="62"/>
  <c r="I14" i="61"/>
  <c r="S4" i="35"/>
  <c r="U4" i="35" s="1"/>
  <c r="D12" i="21"/>
  <c r="K12" i="21" s="1"/>
  <c r="Q12" i="21" s="1"/>
  <c r="F10" i="6" s="1"/>
  <c r="D41" i="16" s="1"/>
  <c r="D10" i="6"/>
  <c r="N11" i="5"/>
  <c r="O11" i="5" s="1"/>
  <c r="S11" i="2" s="1"/>
  <c r="Q11" i="2"/>
  <c r="B12" i="24"/>
  <c r="I12" i="24" s="1"/>
  <c r="C12" i="24"/>
  <c r="J12" i="24" s="1"/>
  <c r="J17" i="5"/>
  <c r="K17" i="5" s="1"/>
  <c r="Q17" i="2" s="1"/>
  <c r="D10" i="9"/>
  <c r="E9" i="52"/>
  <c r="D12" i="24"/>
  <c r="K12" i="24" s="1"/>
  <c r="K12" i="35"/>
  <c r="E12" i="35"/>
  <c r="J16" i="5"/>
  <c r="K16" i="5" s="1"/>
  <c r="I18" i="5"/>
  <c r="I27" i="5" s="1"/>
  <c r="L14" i="5"/>
  <c r="M14" i="5" s="1"/>
  <c r="R14" i="2" s="1"/>
  <c r="E13" i="33"/>
  <c r="B14" i="33" s="1"/>
  <c r="B12" i="22"/>
  <c r="I12" i="22" s="1"/>
  <c r="L13" i="5"/>
  <c r="M13" i="5" s="1"/>
  <c r="E12" i="22"/>
  <c r="B13" i="22" s="1"/>
  <c r="I13" i="22" s="1"/>
  <c r="D12" i="22"/>
  <c r="K12" i="22" s="1"/>
  <c r="K15" i="5"/>
  <c r="Q15" i="2" s="1"/>
  <c r="P12" i="2"/>
  <c r="P8" i="2" s="1"/>
  <c r="P28" i="2" s="1"/>
  <c r="J12" i="5"/>
  <c r="K12" i="5" s="1"/>
  <c r="Q12" i="2" s="1"/>
  <c r="D12" i="23"/>
  <c r="K12" i="23" s="1"/>
  <c r="E12" i="23"/>
  <c r="B12" i="23"/>
  <c r="I12" i="23" s="1"/>
  <c r="C12" i="23"/>
  <c r="J12" i="23" s="1"/>
  <c r="J24" i="5"/>
  <c r="K111" i="4"/>
  <c r="L13" i="19" s="1"/>
  <c r="J13" i="19"/>
  <c r="K20" i="5"/>
  <c r="L20" i="5" s="1"/>
  <c r="M20" i="5" s="1"/>
  <c r="N20" i="5" s="1"/>
  <c r="K12" i="34"/>
  <c r="Q24" i="34" s="1"/>
  <c r="R24" i="34" s="1"/>
  <c r="E12" i="34"/>
  <c r="D13" i="37"/>
  <c r="I13" i="37"/>
  <c r="B13" i="56"/>
  <c r="C12" i="56"/>
  <c r="J12" i="56" s="1"/>
  <c r="K15" i="55"/>
  <c r="Q27" i="55" s="1"/>
  <c r="E13" i="55"/>
  <c r="C13" i="24"/>
  <c r="J13" i="24" s="1"/>
  <c r="D13" i="24"/>
  <c r="K13" i="24" s="1"/>
  <c r="E13" i="24"/>
  <c r="B13" i="24"/>
  <c r="I13" i="24" s="1"/>
  <c r="H26" i="16"/>
  <c r="I18" i="14"/>
  <c r="BV24" i="42"/>
  <c r="E36" i="61"/>
  <c r="E37" i="61" s="1"/>
  <c r="E41" i="61" s="1"/>
  <c r="D12" i="14" s="1"/>
  <c r="E8" i="62"/>
  <c r="E7" i="62"/>
  <c r="D12" i="62"/>
  <c r="AF22" i="16"/>
  <c r="K14" i="61"/>
  <c r="K22" i="12"/>
  <c r="I13" i="61"/>
  <c r="I20" i="12"/>
  <c r="I12" i="61"/>
  <c r="I18" i="12"/>
  <c r="J17" i="12"/>
  <c r="F25" i="12"/>
  <c r="D10" i="14"/>
  <c r="E37" i="12"/>
  <c r="F27" i="12"/>
  <c r="H16" i="61"/>
  <c r="H25" i="61" s="1"/>
  <c r="G27" i="12"/>
  <c r="I15" i="61"/>
  <c r="J23" i="12"/>
  <c r="J24" i="12" s="1"/>
  <c r="H17" i="61"/>
  <c r="I11" i="61"/>
  <c r="I10" i="61"/>
  <c r="K9" i="61"/>
  <c r="I8" i="61"/>
  <c r="J10" i="12"/>
  <c r="L10" i="5"/>
  <c r="M10" i="5" s="1"/>
  <c r="C21" i="14"/>
  <c r="G60" i="32"/>
  <c r="G60" i="53" s="1"/>
  <c r="G48" i="53"/>
  <c r="M48" i="53" s="1"/>
  <c r="I14" i="32"/>
  <c r="D14" i="32"/>
  <c r="S24" i="14"/>
  <c r="T23" i="14"/>
  <c r="T30" i="16"/>
  <c r="AF30" i="16" s="1"/>
  <c r="AF22" i="14"/>
  <c r="G26" i="18" s="1"/>
  <c r="W19" i="14"/>
  <c r="V27" i="16"/>
  <c r="U28" i="16"/>
  <c r="V20" i="14"/>
  <c r="I34" i="16"/>
  <c r="J26" i="14"/>
  <c r="AG21" i="16"/>
  <c r="AA38" i="16"/>
  <c r="K33" i="16"/>
  <c r="L25" i="14"/>
  <c r="I36" i="16"/>
  <c r="Z28" i="14"/>
  <c r="Z36" i="16" s="1"/>
  <c r="J28" i="14"/>
  <c r="J20" i="14"/>
  <c r="I28" i="16"/>
  <c r="I27" i="16"/>
  <c r="J19" i="14"/>
  <c r="Y36" i="16"/>
  <c r="H35" i="16"/>
  <c r="I24" i="14"/>
  <c r="H32" i="16"/>
  <c r="L31" i="19"/>
  <c r="C12" i="16"/>
  <c r="B18" i="19"/>
  <c r="B36" i="40"/>
  <c r="D116" i="4"/>
  <c r="D118" i="4" s="1"/>
  <c r="B43" i="2"/>
  <c r="D13" i="53"/>
  <c r="K13" i="53" s="1"/>
  <c r="Q13" i="53" s="1"/>
  <c r="F10" i="52" s="1"/>
  <c r="E13" i="48"/>
  <c r="K13" i="48"/>
  <c r="Q13" i="48" s="1"/>
  <c r="B44" i="19"/>
  <c r="B39" i="19"/>
  <c r="N22" i="5"/>
  <c r="O22" i="5" s="1"/>
  <c r="S22" i="2" s="1"/>
  <c r="F21" i="19"/>
  <c r="E13" i="8"/>
  <c r="B13" i="8"/>
  <c r="I13" i="8" s="1"/>
  <c r="D13" i="8"/>
  <c r="K13" i="8" s="1"/>
  <c r="C13" i="8"/>
  <c r="J13" i="8" s="1"/>
  <c r="E13" i="54"/>
  <c r="R19" i="18"/>
  <c r="O20" i="18"/>
  <c r="AA19" i="18"/>
  <c r="CB23" i="42"/>
  <c r="CB24" i="42" s="1"/>
  <c r="P20" i="18" s="1"/>
  <c r="W24" i="16"/>
  <c r="CD21" i="42"/>
  <c r="CD23" i="42" s="1"/>
  <c r="CD24" i="42" s="1"/>
  <c r="F21" i="42"/>
  <c r="AI20" i="42"/>
  <c r="G20" i="42"/>
  <c r="G19" i="18"/>
  <c r="J19" i="12"/>
  <c r="C12" i="14"/>
  <c r="C13" i="14" s="1"/>
  <c r="J14" i="12"/>
  <c r="J16" i="12"/>
  <c r="U5" i="32"/>
  <c r="C40" i="16"/>
  <c r="J38" i="16"/>
  <c r="M21" i="5"/>
  <c r="R21" i="2" s="1"/>
  <c r="B49" i="18"/>
  <c r="F46" i="18"/>
  <c r="C46" i="18"/>
  <c r="B15" i="7"/>
  <c r="E15" i="7"/>
  <c r="C15" i="7"/>
  <c r="J15" i="7" s="1"/>
  <c r="D15" i="7"/>
  <c r="D11" i="19"/>
  <c r="D10" i="19"/>
  <c r="L12" i="12"/>
  <c r="L34" i="19"/>
  <c r="I14" i="7"/>
  <c r="R48" i="35"/>
  <c r="R49" i="35" s="1"/>
  <c r="R50" i="35" s="1"/>
  <c r="R51" i="35" s="1"/>
  <c r="R52" i="35" s="1"/>
  <c r="R53" i="35" s="1"/>
  <c r="R54" i="35" s="1"/>
  <c r="R55" i="35" s="1"/>
  <c r="R56" i="35" s="1"/>
  <c r="R57" i="35" s="1"/>
  <c r="R58" i="35" s="1"/>
  <c r="R59" i="35" s="1"/>
  <c r="S5" i="35"/>
  <c r="U5" i="35" s="1"/>
  <c r="AA26" i="16"/>
  <c r="AB18" i="14"/>
  <c r="K12" i="36"/>
  <c r="E12" i="36"/>
  <c r="L21" i="12"/>
  <c r="K14" i="7"/>
  <c r="S6" i="32"/>
  <c r="R60" i="32"/>
  <c r="R61" i="32" s="1"/>
  <c r="R62" i="32" s="1"/>
  <c r="R63" i="32" s="1"/>
  <c r="R64" i="32" s="1"/>
  <c r="R65" i="32" s="1"/>
  <c r="R66" i="32" s="1"/>
  <c r="R67" i="32" s="1"/>
  <c r="R68" i="32" s="1"/>
  <c r="R69" i="32" s="1"/>
  <c r="R70" i="32" s="1"/>
  <c r="R71" i="32" s="1"/>
  <c r="L23" i="5"/>
  <c r="K31" i="16"/>
  <c r="L23" i="14"/>
  <c r="AF16" i="14" l="1"/>
  <c r="G20" i="18" s="1"/>
  <c r="L20" i="18" s="1"/>
  <c r="AF24" i="16"/>
  <c r="G44" i="4"/>
  <c r="G43" i="4"/>
  <c r="P11" i="5"/>
  <c r="Q11" i="5" s="1"/>
  <c r="B15" i="19"/>
  <c r="D12" i="63" s="1"/>
  <c r="D14" i="63" s="1"/>
  <c r="D30" i="63" s="1"/>
  <c r="D26" i="63"/>
  <c r="C12" i="21"/>
  <c r="J12" i="21" s="1"/>
  <c r="P12" i="21" s="1"/>
  <c r="E10" i="6" s="1"/>
  <c r="E12" i="21"/>
  <c r="B13" i="21" s="1"/>
  <c r="I13" i="21" s="1"/>
  <c r="O13" i="21" s="1"/>
  <c r="D11" i="6" s="1"/>
  <c r="E29" i="14" s="1"/>
  <c r="E37" i="16" s="1"/>
  <c r="D29" i="14"/>
  <c r="D37" i="16" s="1"/>
  <c r="L17" i="5"/>
  <c r="M17" i="5" s="1"/>
  <c r="R17" i="2" s="1"/>
  <c r="R13" i="48"/>
  <c r="F10" i="9"/>
  <c r="E106" i="4"/>
  <c r="D8" i="19" s="1"/>
  <c r="P18" i="2"/>
  <c r="C13" i="22"/>
  <c r="J13" i="22" s="1"/>
  <c r="B13" i="35"/>
  <c r="C12" i="35"/>
  <c r="J12" i="35" s="1"/>
  <c r="N14" i="5"/>
  <c r="O14" i="5" s="1"/>
  <c r="S14" i="2" s="1"/>
  <c r="C13" i="33"/>
  <c r="J13" i="33" s="1"/>
  <c r="P13" i="33" s="1"/>
  <c r="E13" i="22"/>
  <c r="D14" i="22" s="1"/>
  <c r="K14" i="22" s="1"/>
  <c r="J18" i="5"/>
  <c r="J27" i="5" s="1"/>
  <c r="D13" i="22"/>
  <c r="K13" i="22" s="1"/>
  <c r="L15" i="5"/>
  <c r="L12" i="5"/>
  <c r="M12" i="5" s="1"/>
  <c r="R12" i="2" s="1"/>
  <c r="C13" i="23"/>
  <c r="J13" i="23" s="1"/>
  <c r="E13" i="23"/>
  <c r="D13" i="23"/>
  <c r="K13" i="23" s="1"/>
  <c r="B13" i="23"/>
  <c r="I13" i="23" s="1"/>
  <c r="K24" i="5"/>
  <c r="Q20" i="2"/>
  <c r="Q19" i="2" s="1"/>
  <c r="B13" i="34"/>
  <c r="C12" i="34"/>
  <c r="J12" i="34" s="1"/>
  <c r="P24" i="34" s="1"/>
  <c r="K13" i="37"/>
  <c r="E13" i="37"/>
  <c r="I15" i="56"/>
  <c r="D13" i="56"/>
  <c r="B14" i="55"/>
  <c r="I16" i="55" s="1"/>
  <c r="O28" i="55" s="1"/>
  <c r="C13" i="55"/>
  <c r="C14" i="24"/>
  <c r="J14" i="24" s="1"/>
  <c r="B14" i="24"/>
  <c r="I14" i="24" s="1"/>
  <c r="E14" i="24"/>
  <c r="D14" i="24"/>
  <c r="K14" i="24" s="1"/>
  <c r="J18" i="14"/>
  <c r="I26" i="16"/>
  <c r="C29" i="16"/>
  <c r="C47" i="16" s="1"/>
  <c r="D13" i="14"/>
  <c r="E38" i="61"/>
  <c r="E10" i="62"/>
  <c r="F8" i="62"/>
  <c r="F7" i="62"/>
  <c r="L14" i="61"/>
  <c r="L22" i="12"/>
  <c r="J13" i="61"/>
  <c r="J20" i="12"/>
  <c r="F36" i="61"/>
  <c r="F37" i="61" s="1"/>
  <c r="F38" i="61" s="1"/>
  <c r="J12" i="61"/>
  <c r="J18" i="12"/>
  <c r="K17" i="12"/>
  <c r="F37" i="12"/>
  <c r="L62" i="12" s="1"/>
  <c r="E10" i="14"/>
  <c r="E134" i="12"/>
  <c r="I60" i="12"/>
  <c r="J61" i="12"/>
  <c r="M64" i="12"/>
  <c r="H59" i="12"/>
  <c r="F56" i="12"/>
  <c r="K62" i="12"/>
  <c r="L63" i="12"/>
  <c r="G25" i="12"/>
  <c r="I17" i="61"/>
  <c r="I16" i="61"/>
  <c r="I25" i="61" s="1"/>
  <c r="J15" i="61"/>
  <c r="K23" i="12"/>
  <c r="K24" i="12" s="1"/>
  <c r="J11" i="61"/>
  <c r="J10" i="61"/>
  <c r="L9" i="61"/>
  <c r="K10" i="12"/>
  <c r="J8" i="61"/>
  <c r="N10" i="5"/>
  <c r="O10" i="5" s="1"/>
  <c r="R10" i="2"/>
  <c r="C31" i="14"/>
  <c r="K14" i="32"/>
  <c r="E14" i="32"/>
  <c r="W27" i="16"/>
  <c r="X19" i="14"/>
  <c r="T24" i="14"/>
  <c r="S25" i="14"/>
  <c r="I26" i="18"/>
  <c r="J26" i="18"/>
  <c r="M26" i="18" s="1"/>
  <c r="P26" i="18" s="1"/>
  <c r="W20" i="14"/>
  <c r="V28" i="16"/>
  <c r="U23" i="14"/>
  <c r="T31" i="16"/>
  <c r="J34" i="16"/>
  <c r="K26" i="14"/>
  <c r="AB38" i="16"/>
  <c r="J24" i="14"/>
  <c r="I32" i="16"/>
  <c r="I35" i="16"/>
  <c r="J28" i="16"/>
  <c r="K20" i="14"/>
  <c r="J27" i="16"/>
  <c r="K19" i="14"/>
  <c r="AA28" i="14"/>
  <c r="AA36" i="16" s="1"/>
  <c r="K28" i="14"/>
  <c r="J36" i="16"/>
  <c r="M25" i="14"/>
  <c r="L33" i="16"/>
  <c r="B14" i="48"/>
  <c r="C13" i="48"/>
  <c r="J13" i="48" s="1"/>
  <c r="P13" i="48" s="1"/>
  <c r="N21" i="5"/>
  <c r="O21" i="5" s="1"/>
  <c r="S21" i="2" s="1"/>
  <c r="C14" i="8"/>
  <c r="J14" i="8" s="1"/>
  <c r="E14" i="8"/>
  <c r="B14" i="8"/>
  <c r="I14" i="8" s="1"/>
  <c r="D14" i="8"/>
  <c r="K14" i="8" s="1"/>
  <c r="E13" i="53"/>
  <c r="C13" i="54"/>
  <c r="B14" i="54"/>
  <c r="I14" i="54" s="1"/>
  <c r="H21" i="19"/>
  <c r="C27" i="19"/>
  <c r="C24" i="19"/>
  <c r="C30" i="19"/>
  <c r="C41" i="19"/>
  <c r="C25" i="19"/>
  <c r="C45" i="19"/>
  <c r="C34" i="19"/>
  <c r="C22" i="19"/>
  <c r="C28" i="19"/>
  <c r="C20" i="19"/>
  <c r="C21" i="19"/>
  <c r="C32" i="19"/>
  <c r="E20" i="63" s="1"/>
  <c r="C35" i="19"/>
  <c r="C42" i="19"/>
  <c r="C26" i="19"/>
  <c r="C36" i="19"/>
  <c r="C33" i="19"/>
  <c r="C38" i="19"/>
  <c r="C31" i="19"/>
  <c r="C29" i="19"/>
  <c r="C37" i="19"/>
  <c r="C23" i="19"/>
  <c r="C21" i="2"/>
  <c r="C25" i="2"/>
  <c r="C9" i="2"/>
  <c r="C23" i="2"/>
  <c r="C40" i="2"/>
  <c r="C24" i="2"/>
  <c r="C20" i="2"/>
  <c r="C18" i="2"/>
  <c r="C7" i="2"/>
  <c r="C27" i="2"/>
  <c r="C38" i="2"/>
  <c r="C16" i="2"/>
  <c r="C17" i="2"/>
  <c r="C31" i="2"/>
  <c r="C13" i="2"/>
  <c r="C43" i="2"/>
  <c r="C10" i="2"/>
  <c r="C14" i="2"/>
  <c r="C42" i="2"/>
  <c r="C26" i="2"/>
  <c r="C12" i="2"/>
  <c r="C39" i="2"/>
  <c r="C19" i="2"/>
  <c r="C32" i="2"/>
  <c r="C15" i="2"/>
  <c r="C37" i="2"/>
  <c r="C35" i="2"/>
  <c r="C34" i="2"/>
  <c r="C30" i="2"/>
  <c r="C8" i="2"/>
  <c r="C36" i="2"/>
  <c r="C29" i="2"/>
  <c r="C11" i="2"/>
  <c r="C33" i="2"/>
  <c r="C22" i="2"/>
  <c r="C41" i="2"/>
  <c r="C28" i="2"/>
  <c r="C44" i="19"/>
  <c r="R20" i="18"/>
  <c r="AC19" i="18"/>
  <c r="G21" i="42"/>
  <c r="AI21" i="42"/>
  <c r="F22" i="42"/>
  <c r="L19" i="18"/>
  <c r="I19" i="18"/>
  <c r="I20" i="18"/>
  <c r="K19" i="12"/>
  <c r="K16" i="12"/>
  <c r="K14" i="12"/>
  <c r="O20" i="5"/>
  <c r="M23" i="14"/>
  <c r="L31" i="16"/>
  <c r="M21" i="12"/>
  <c r="U6" i="32"/>
  <c r="Q16" i="2"/>
  <c r="K18" i="5"/>
  <c r="L16" i="5"/>
  <c r="D14" i="33"/>
  <c r="I14" i="33"/>
  <c r="O14" i="33" s="1"/>
  <c r="AC18" i="14"/>
  <c r="AB26" i="16"/>
  <c r="C16" i="7"/>
  <c r="J16" i="7" s="1"/>
  <c r="D16" i="7"/>
  <c r="E16" i="7"/>
  <c r="B16" i="7"/>
  <c r="R13" i="2"/>
  <c r="I15" i="7"/>
  <c r="N13" i="5"/>
  <c r="B13" i="36"/>
  <c r="C12" i="36"/>
  <c r="J12" i="36" s="1"/>
  <c r="P22" i="5"/>
  <c r="Q22" i="5" s="1"/>
  <c r="T22" i="2" s="1"/>
  <c r="R20" i="2"/>
  <c r="K15" i="7"/>
  <c r="K38" i="16"/>
  <c r="R72" i="32"/>
  <c r="R73" i="32" s="1"/>
  <c r="R74" i="32" s="1"/>
  <c r="R75" i="32" s="1"/>
  <c r="R76" i="32" s="1"/>
  <c r="R77" i="32" s="1"/>
  <c r="R78" i="32" s="1"/>
  <c r="R79" i="32" s="1"/>
  <c r="R80" i="32" s="1"/>
  <c r="R81" i="32" s="1"/>
  <c r="R82" i="32" s="1"/>
  <c r="R83" i="32" s="1"/>
  <c r="S7" i="32"/>
  <c r="G32" i="14"/>
  <c r="H32" i="14"/>
  <c r="D32" i="14"/>
  <c r="M32" i="14"/>
  <c r="K32" i="14"/>
  <c r="F32" i="14"/>
  <c r="C32" i="14"/>
  <c r="C33" i="14" s="1"/>
  <c r="N32" i="14"/>
  <c r="E32" i="14"/>
  <c r="I32" i="14"/>
  <c r="J32" i="14"/>
  <c r="L32" i="14"/>
  <c r="M23" i="5"/>
  <c r="R23" i="2" s="1"/>
  <c r="R60" i="35"/>
  <c r="R61" i="35" s="1"/>
  <c r="R62" i="35" s="1"/>
  <c r="R63" i="35" s="1"/>
  <c r="R64" i="35" s="1"/>
  <c r="R65" i="35" s="1"/>
  <c r="R66" i="35" s="1"/>
  <c r="R67" i="35" s="1"/>
  <c r="R68" i="35" s="1"/>
  <c r="R69" i="35" s="1"/>
  <c r="R70" i="35" s="1"/>
  <c r="R71" i="35" s="1"/>
  <c r="S6" i="35"/>
  <c r="U6" i="35" s="1"/>
  <c r="M12" i="12"/>
  <c r="L24" i="5"/>
  <c r="T20" i="63" l="1"/>
  <c r="G36" i="4"/>
  <c r="G46" i="4" s="1"/>
  <c r="B19" i="19"/>
  <c r="C10" i="19" s="1"/>
  <c r="E16" i="63"/>
  <c r="E18" i="64"/>
  <c r="E18" i="63"/>
  <c r="E20" i="64"/>
  <c r="E24" i="62"/>
  <c r="C14" i="22"/>
  <c r="J14" i="22" s="1"/>
  <c r="D13" i="21"/>
  <c r="C13" i="21" s="1"/>
  <c r="J13" i="21" s="1"/>
  <c r="P13" i="21" s="1"/>
  <c r="E11" i="6" s="1"/>
  <c r="J15" i="55"/>
  <c r="P27" i="55" s="1"/>
  <c r="J14" i="55"/>
  <c r="P26" i="55" s="1"/>
  <c r="J13" i="54"/>
  <c r="D9" i="19"/>
  <c r="E113" i="4"/>
  <c r="G106" i="4"/>
  <c r="F9" i="19" s="1"/>
  <c r="B14" i="22"/>
  <c r="I14" i="22" s="1"/>
  <c r="E10" i="9"/>
  <c r="D40" i="16"/>
  <c r="E14" i="22"/>
  <c r="C15" i="22" s="1"/>
  <c r="J15" i="22" s="1"/>
  <c r="D13" i="35"/>
  <c r="I13" i="35"/>
  <c r="M15" i="5"/>
  <c r="R15" i="2" s="1"/>
  <c r="G108" i="4"/>
  <c r="F10" i="19" s="1"/>
  <c r="B14" i="23"/>
  <c r="I14" i="23" s="1"/>
  <c r="C14" i="23"/>
  <c r="J14" i="23" s="1"/>
  <c r="D14" i="23"/>
  <c r="K14" i="23" s="1"/>
  <c r="E14" i="23"/>
  <c r="D13" i="34"/>
  <c r="I13" i="34"/>
  <c r="O25" i="34" s="1"/>
  <c r="B14" i="37"/>
  <c r="C13" i="37"/>
  <c r="J13" i="37" s="1"/>
  <c r="K15" i="56"/>
  <c r="E13" i="56"/>
  <c r="D15" i="24"/>
  <c r="K15" i="24" s="1"/>
  <c r="E15" i="24"/>
  <c r="C15" i="24"/>
  <c r="J15" i="24" s="1"/>
  <c r="B15" i="24"/>
  <c r="I15" i="24" s="1"/>
  <c r="D14" i="55"/>
  <c r="K16" i="55" s="1"/>
  <c r="Q28" i="55" s="1"/>
  <c r="J26" i="16"/>
  <c r="K18" i="14"/>
  <c r="E21" i="62"/>
  <c r="G37" i="12"/>
  <c r="G8" i="62"/>
  <c r="G7" i="62"/>
  <c r="F10" i="62"/>
  <c r="F24" i="62" s="1"/>
  <c r="E12" i="62"/>
  <c r="N64" i="12"/>
  <c r="K61" i="12"/>
  <c r="M63" i="12"/>
  <c r="M14" i="61"/>
  <c r="M22" i="12"/>
  <c r="G56" i="12"/>
  <c r="D21" i="14"/>
  <c r="J60" i="12"/>
  <c r="I59" i="12"/>
  <c r="F41" i="61"/>
  <c r="E12" i="14" s="1"/>
  <c r="E13" i="14" s="1"/>
  <c r="K13" i="61"/>
  <c r="K20" i="12"/>
  <c r="F134" i="12"/>
  <c r="K12" i="61"/>
  <c r="K18" i="12"/>
  <c r="L17" i="12"/>
  <c r="G36" i="61"/>
  <c r="G37" i="61" s="1"/>
  <c r="G38" i="61" s="1"/>
  <c r="H25" i="12"/>
  <c r="G134" i="12"/>
  <c r="F10" i="14"/>
  <c r="H27" i="12"/>
  <c r="J16" i="61"/>
  <c r="K15" i="61"/>
  <c r="L23" i="12"/>
  <c r="L24" i="12" s="1"/>
  <c r="K11" i="61"/>
  <c r="J17" i="61"/>
  <c r="K10" i="61"/>
  <c r="K8" i="61"/>
  <c r="L10" i="12"/>
  <c r="M9" i="61"/>
  <c r="P10" i="5"/>
  <c r="Q10" i="5" s="1"/>
  <c r="T10" i="2" s="1"/>
  <c r="S10" i="2"/>
  <c r="B15" i="32"/>
  <c r="C14" i="32"/>
  <c r="J14" i="32" s="1"/>
  <c r="T25" i="14"/>
  <c r="S26" i="14"/>
  <c r="S27" i="14" s="1"/>
  <c r="U24" i="14"/>
  <c r="T32" i="16"/>
  <c r="X27" i="16"/>
  <c r="Y19" i="14"/>
  <c r="W28" i="16"/>
  <c r="X20" i="14"/>
  <c r="V23" i="14"/>
  <c r="U31" i="16"/>
  <c r="P14" i="5"/>
  <c r="Q14" i="5" s="1"/>
  <c r="T14" i="2" s="1"/>
  <c r="L26" i="14"/>
  <c r="K34" i="16"/>
  <c r="AC38" i="16"/>
  <c r="L28" i="14"/>
  <c r="K36" i="16"/>
  <c r="AB28" i="14"/>
  <c r="AB36" i="16" s="1"/>
  <c r="M33" i="16"/>
  <c r="N25" i="14"/>
  <c r="N33" i="16" s="1"/>
  <c r="J35" i="16"/>
  <c r="L19" i="14"/>
  <c r="K27" i="16"/>
  <c r="K28" i="16"/>
  <c r="L20" i="14"/>
  <c r="J32" i="16"/>
  <c r="K24" i="14"/>
  <c r="N17" i="5"/>
  <c r="J21" i="19"/>
  <c r="I14" i="48"/>
  <c r="O14" i="48" s="1"/>
  <c r="D14" i="48"/>
  <c r="N12" i="5"/>
  <c r="C39" i="19"/>
  <c r="D14" i="54"/>
  <c r="K14" i="54" s="1"/>
  <c r="B14" i="53"/>
  <c r="I14" i="53" s="1"/>
  <c r="O14" i="53" s="1"/>
  <c r="D11" i="52" s="1"/>
  <c r="C13" i="53"/>
  <c r="E15" i="8"/>
  <c r="D15" i="8"/>
  <c r="K15" i="8" s="1"/>
  <c r="B15" i="8"/>
  <c r="I15" i="8" s="1"/>
  <c r="C15" i="8"/>
  <c r="J15" i="8" s="1"/>
  <c r="G22" i="42"/>
  <c r="AI22" i="42"/>
  <c r="L19" i="12"/>
  <c r="L16" i="12"/>
  <c r="L14" i="12"/>
  <c r="R72" i="35"/>
  <c r="R73" i="35" s="1"/>
  <c r="R74" i="35" s="1"/>
  <c r="R75" i="35" s="1"/>
  <c r="R76" i="35" s="1"/>
  <c r="R77" i="35" s="1"/>
  <c r="R78" i="35" s="1"/>
  <c r="R79" i="35" s="1"/>
  <c r="R80" i="35" s="1"/>
  <c r="R81" i="35" s="1"/>
  <c r="R82" i="35" s="1"/>
  <c r="R83" i="35" s="1"/>
  <c r="S7" i="35"/>
  <c r="U7" i="35" s="1"/>
  <c r="L38" i="16"/>
  <c r="R19" i="2"/>
  <c r="N23" i="5"/>
  <c r="N24" i="5" s="1"/>
  <c r="D13" i="36"/>
  <c r="I13" i="36"/>
  <c r="D17" i="7"/>
  <c r="E17" i="7"/>
  <c r="C17" i="7"/>
  <c r="J17" i="7" s="1"/>
  <c r="B17" i="7"/>
  <c r="AC26" i="16"/>
  <c r="AD18" i="14"/>
  <c r="K14" i="33"/>
  <c r="Q14" i="33" s="1"/>
  <c r="E14" i="33"/>
  <c r="N23" i="14"/>
  <c r="M31" i="16"/>
  <c r="S20" i="2"/>
  <c r="I16" i="7"/>
  <c r="N12" i="12"/>
  <c r="U7" i="32"/>
  <c r="P21" i="5"/>
  <c r="Q21" i="5" s="1"/>
  <c r="T21" i="2" s="1"/>
  <c r="K16" i="7"/>
  <c r="M16" i="5"/>
  <c r="N16" i="5" s="1"/>
  <c r="L18" i="5"/>
  <c r="L27" i="5" s="1"/>
  <c r="N21" i="12"/>
  <c r="P20" i="5"/>
  <c r="O13" i="5"/>
  <c r="P13" i="5" s="1"/>
  <c r="Q18" i="2"/>
  <c r="Q8" i="2"/>
  <c r="Q28" i="2" s="1"/>
  <c r="O32" i="14"/>
  <c r="D36" i="18" s="1"/>
  <c r="Q28" i="63" s="1"/>
  <c r="M24" i="5"/>
  <c r="T11" i="2"/>
  <c r="K27" i="5"/>
  <c r="C14" i="19" l="1"/>
  <c r="C8" i="19"/>
  <c r="C16" i="19"/>
  <c r="E28" i="63"/>
  <c r="C18" i="19"/>
  <c r="E26" i="63" s="1"/>
  <c r="C11" i="19"/>
  <c r="C15" i="19"/>
  <c r="E11" i="64" s="1"/>
  <c r="C17" i="19"/>
  <c r="C13" i="19"/>
  <c r="C9" i="19"/>
  <c r="B47" i="19"/>
  <c r="C12" i="19"/>
  <c r="BD29" i="20"/>
  <c r="C7" i="19"/>
  <c r="E9" i="64" s="1"/>
  <c r="E15" i="64"/>
  <c r="E16" i="64"/>
  <c r="E22" i="63"/>
  <c r="E13" i="21"/>
  <c r="B14" i="21" s="1"/>
  <c r="I14" i="21" s="1"/>
  <c r="O14" i="21" s="1"/>
  <c r="K13" i="21"/>
  <c r="Q13" i="21" s="1"/>
  <c r="F11" i="6" s="1"/>
  <c r="E15" i="22"/>
  <c r="C16" i="22" s="1"/>
  <c r="J16" i="22" s="1"/>
  <c r="R14" i="33"/>
  <c r="F8" i="19"/>
  <c r="D7" i="19"/>
  <c r="G10" i="63" s="1"/>
  <c r="J13" i="53"/>
  <c r="P13" i="53" s="1"/>
  <c r="E10" i="52" s="1"/>
  <c r="D15" i="22"/>
  <c r="K15" i="22" s="1"/>
  <c r="B15" i="22"/>
  <c r="I15" i="22" s="1"/>
  <c r="D11" i="9"/>
  <c r="E13" i="35"/>
  <c r="K13" i="35"/>
  <c r="F11" i="19"/>
  <c r="G113" i="4"/>
  <c r="N15" i="5"/>
  <c r="N18" i="5" s="1"/>
  <c r="N27" i="5" s="1"/>
  <c r="D15" i="23"/>
  <c r="K15" i="23" s="1"/>
  <c r="E15" i="23"/>
  <c r="C15" i="23"/>
  <c r="J15" i="23" s="1"/>
  <c r="B15" i="23"/>
  <c r="I15" i="23" s="1"/>
  <c r="E13" i="34"/>
  <c r="K13" i="34"/>
  <c r="Q25" i="34" s="1"/>
  <c r="D14" i="37"/>
  <c r="I14" i="37"/>
  <c r="B14" i="56"/>
  <c r="C13" i="56"/>
  <c r="J15" i="56" s="1"/>
  <c r="E16" i="24"/>
  <c r="C16" i="24"/>
  <c r="J16" i="24" s="1"/>
  <c r="B16" i="24"/>
  <c r="I16" i="24" s="1"/>
  <c r="D16" i="24"/>
  <c r="K16" i="24" s="1"/>
  <c r="E14" i="55"/>
  <c r="K26" i="16"/>
  <c r="L18" i="14"/>
  <c r="H56" i="12"/>
  <c r="N63" i="12"/>
  <c r="L61" i="12"/>
  <c r="K60" i="12"/>
  <c r="J59" i="12"/>
  <c r="O64" i="12"/>
  <c r="P64" i="12" s="1"/>
  <c r="M62" i="12"/>
  <c r="F12" i="62"/>
  <c r="F21" i="62"/>
  <c r="D29" i="16"/>
  <c r="D47" i="16" s="1"/>
  <c r="E21" i="14"/>
  <c r="E33" i="14" s="1"/>
  <c r="H36" i="61"/>
  <c r="H37" i="61" s="1"/>
  <c r="H38" i="61" s="1"/>
  <c r="H8" i="62"/>
  <c r="H7" i="62"/>
  <c r="G10" i="62"/>
  <c r="D33" i="14"/>
  <c r="N14" i="61"/>
  <c r="N22" i="12"/>
  <c r="D31" i="14"/>
  <c r="L13" i="61"/>
  <c r="L20" i="12"/>
  <c r="G41" i="61"/>
  <c r="F12" i="14" s="1"/>
  <c r="F13" i="14" s="1"/>
  <c r="L12" i="61"/>
  <c r="L18" i="12"/>
  <c r="M17" i="12"/>
  <c r="H134" i="12"/>
  <c r="G10" i="14"/>
  <c r="H37" i="12"/>
  <c r="I27" i="12"/>
  <c r="I25" i="12"/>
  <c r="J25" i="12"/>
  <c r="L15" i="61"/>
  <c r="M23" i="12"/>
  <c r="M24" i="12" s="1"/>
  <c r="K16" i="61"/>
  <c r="L11" i="61"/>
  <c r="L10" i="61"/>
  <c r="K17" i="61"/>
  <c r="L8" i="61"/>
  <c r="M10" i="12"/>
  <c r="N9" i="61"/>
  <c r="D15" i="32"/>
  <c r="I15" i="32"/>
  <c r="T26" i="14"/>
  <c r="AB27" i="14"/>
  <c r="AB35" i="16" s="1"/>
  <c r="W23" i="14"/>
  <c r="V31" i="16"/>
  <c r="Z19" i="14"/>
  <c r="Y27" i="16"/>
  <c r="T33" i="16"/>
  <c r="U25" i="14"/>
  <c r="U32" i="16"/>
  <c r="V24" i="14"/>
  <c r="X28" i="16"/>
  <c r="Y20" i="14"/>
  <c r="H108" i="4"/>
  <c r="H11" i="19" s="1"/>
  <c r="M26" i="14"/>
  <c r="L34" i="16"/>
  <c r="O25" i="14"/>
  <c r="D29" i="18" s="1"/>
  <c r="AD38" i="16"/>
  <c r="AE38" i="16"/>
  <c r="O33" i="16"/>
  <c r="L24" i="14"/>
  <c r="K32" i="16"/>
  <c r="M20" i="14"/>
  <c r="L28" i="16"/>
  <c r="M19" i="14"/>
  <c r="L27" i="16"/>
  <c r="K35" i="16"/>
  <c r="M28" i="14"/>
  <c r="L36" i="16"/>
  <c r="AC28" i="14"/>
  <c r="E16" i="8"/>
  <c r="B16" i="8"/>
  <c r="I16" i="8" s="1"/>
  <c r="C16" i="8"/>
  <c r="J16" i="8" s="1"/>
  <c r="D16" i="8"/>
  <c r="K16" i="8" s="1"/>
  <c r="E14" i="54"/>
  <c r="E14" i="48"/>
  <c r="K14" i="48"/>
  <c r="Q14" i="48" s="1"/>
  <c r="L21" i="19"/>
  <c r="O17" i="5"/>
  <c r="S17" i="2" s="1"/>
  <c r="O12" i="5"/>
  <c r="S12" i="2" s="1"/>
  <c r="D14" i="53"/>
  <c r="K14" i="53" s="1"/>
  <c r="Q14" i="53" s="1"/>
  <c r="F11" i="52" s="1"/>
  <c r="M19" i="12"/>
  <c r="M14" i="12"/>
  <c r="M16" i="12"/>
  <c r="J25" i="61"/>
  <c r="Q13" i="5"/>
  <c r="O16" i="5"/>
  <c r="S16" i="2" s="1"/>
  <c r="C34" i="14"/>
  <c r="O21" i="12"/>
  <c r="N31" i="16"/>
  <c r="O31" i="16" s="1"/>
  <c r="O23" i="14"/>
  <c r="D27" i="18" s="1"/>
  <c r="B15" i="33"/>
  <c r="C14" i="33"/>
  <c r="J14" i="33" s="1"/>
  <c r="P14" i="33" s="1"/>
  <c r="AD26" i="16"/>
  <c r="AE18" i="14"/>
  <c r="I17" i="7"/>
  <c r="K13" i="36"/>
  <c r="E13" i="36"/>
  <c r="O23" i="5"/>
  <c r="S23" i="2" s="1"/>
  <c r="S19" i="2" s="1"/>
  <c r="S24" i="2" s="1"/>
  <c r="M38" i="16"/>
  <c r="R16" i="2"/>
  <c r="M18" i="5"/>
  <c r="S13" i="2"/>
  <c r="K17" i="7"/>
  <c r="Z32" i="14"/>
  <c r="AB32" i="14"/>
  <c r="AA32" i="14"/>
  <c r="X32" i="14"/>
  <c r="AD32" i="14"/>
  <c r="Y32" i="14"/>
  <c r="AE32" i="14"/>
  <c r="AC32" i="14"/>
  <c r="V32" i="14"/>
  <c r="T32" i="14"/>
  <c r="W32" i="14"/>
  <c r="U32" i="14"/>
  <c r="Q20" i="5"/>
  <c r="C18" i="7"/>
  <c r="J18" i="7" s="1"/>
  <c r="D18" i="7"/>
  <c r="B18" i="7"/>
  <c r="E18" i="7"/>
  <c r="R25" i="34" l="1"/>
  <c r="E10" i="63"/>
  <c r="E24" i="64" s="1"/>
  <c r="E12" i="63"/>
  <c r="C19" i="19"/>
  <c r="E13" i="64"/>
  <c r="E16" i="22"/>
  <c r="D17" i="22" s="1"/>
  <c r="K17" i="22" s="1"/>
  <c r="B16" i="22"/>
  <c r="I16" i="22" s="1"/>
  <c r="D16" i="22"/>
  <c r="K16" i="22" s="1"/>
  <c r="G24" i="62"/>
  <c r="O12" i="12"/>
  <c r="E41" i="16"/>
  <c r="D14" i="21"/>
  <c r="C14" i="21" s="1"/>
  <c r="J14" i="21" s="1"/>
  <c r="P14" i="21" s="1"/>
  <c r="D12" i="6"/>
  <c r="F11" i="9"/>
  <c r="R14" i="48"/>
  <c r="B14" i="35"/>
  <c r="C13" i="35"/>
  <c r="J13" i="35" s="1"/>
  <c r="F7" i="19"/>
  <c r="J10" i="63" s="1"/>
  <c r="O15" i="5"/>
  <c r="S15" i="2" s="1"/>
  <c r="S18" i="2" s="1"/>
  <c r="B16" i="23"/>
  <c r="I16" i="23" s="1"/>
  <c r="E16" i="23"/>
  <c r="D16" i="23"/>
  <c r="K16" i="23" s="1"/>
  <c r="C16" i="23"/>
  <c r="J16" i="23" s="1"/>
  <c r="C13" i="34"/>
  <c r="J13" i="34" s="1"/>
  <c r="P25" i="34" s="1"/>
  <c r="B14" i="34"/>
  <c r="K14" i="37"/>
  <c r="E14" i="37"/>
  <c r="O24" i="5"/>
  <c r="D14" i="56"/>
  <c r="I18" i="56"/>
  <c r="B15" i="55"/>
  <c r="I18" i="55" s="1"/>
  <c r="O30" i="55" s="1"/>
  <c r="C14" i="55"/>
  <c r="B17" i="24"/>
  <c r="I17" i="24" s="1"/>
  <c r="C17" i="24"/>
  <c r="J17" i="24" s="1"/>
  <c r="E17" i="24"/>
  <c r="D17" i="24"/>
  <c r="K17" i="24" s="1"/>
  <c r="M18" i="14"/>
  <c r="L26" i="16"/>
  <c r="H41" i="61"/>
  <c r="G12" i="14" s="1"/>
  <c r="G13" i="14" s="1"/>
  <c r="F21" i="14"/>
  <c r="G21" i="62"/>
  <c r="E29" i="16"/>
  <c r="E47" i="16" s="1"/>
  <c r="E31" i="14"/>
  <c r="H10" i="14"/>
  <c r="I8" i="62"/>
  <c r="I7" i="62"/>
  <c r="G12" i="62"/>
  <c r="J8" i="62"/>
  <c r="J7" i="62"/>
  <c r="H10" i="62"/>
  <c r="E34" i="14"/>
  <c r="I56" i="12"/>
  <c r="D34" i="14"/>
  <c r="O14" i="61"/>
  <c r="P14" i="61" s="1"/>
  <c r="O22" i="12"/>
  <c r="P22" i="12" s="1"/>
  <c r="M13" i="61"/>
  <c r="M20" i="12"/>
  <c r="M12" i="61"/>
  <c r="M18" i="12"/>
  <c r="N17" i="12"/>
  <c r="M61" i="12"/>
  <c r="K59" i="12"/>
  <c r="N62" i="12"/>
  <c r="L60" i="12"/>
  <c r="O63" i="12"/>
  <c r="P63" i="12" s="1"/>
  <c r="W64" i="12"/>
  <c r="I134" i="12"/>
  <c r="I36" i="61"/>
  <c r="I37" i="61" s="1"/>
  <c r="I41" i="61" s="1"/>
  <c r="H12" i="14" s="1"/>
  <c r="I10" i="14"/>
  <c r="J27" i="12"/>
  <c r="J37" i="12" s="1"/>
  <c r="J36" i="61"/>
  <c r="J37" i="61" s="1"/>
  <c r="J38" i="61" s="1"/>
  <c r="I37" i="12"/>
  <c r="L16" i="61"/>
  <c r="L25" i="61" s="1"/>
  <c r="M15" i="61"/>
  <c r="N23" i="12"/>
  <c r="N24" i="12" s="1"/>
  <c r="M11" i="61"/>
  <c r="L17" i="61"/>
  <c r="M10" i="61"/>
  <c r="M8" i="61"/>
  <c r="N10" i="12"/>
  <c r="H10" i="19"/>
  <c r="K15" i="32"/>
  <c r="E15" i="32"/>
  <c r="W24" i="14"/>
  <c r="V32" i="16"/>
  <c r="T27" i="14"/>
  <c r="T35" i="16" s="1"/>
  <c r="W27" i="14"/>
  <c r="W35" i="16" s="1"/>
  <c r="U27" i="14"/>
  <c r="U35" i="16" s="1"/>
  <c r="V27" i="14"/>
  <c r="V35" i="16" s="1"/>
  <c r="Y27" i="14"/>
  <c r="Y35" i="16" s="1"/>
  <c r="X27" i="14"/>
  <c r="X35" i="16" s="1"/>
  <c r="Z27" i="14"/>
  <c r="Z35" i="16" s="1"/>
  <c r="AA27" i="14"/>
  <c r="AA35" i="16" s="1"/>
  <c r="AA19" i="14"/>
  <c r="Z27" i="16"/>
  <c r="U26" i="14"/>
  <c r="T34" i="16"/>
  <c r="W31" i="16"/>
  <c r="X23" i="14"/>
  <c r="Z20" i="14"/>
  <c r="Y28" i="16"/>
  <c r="U33" i="16"/>
  <c r="V25" i="14"/>
  <c r="P33" i="16"/>
  <c r="D37" i="19" s="1"/>
  <c r="N26" i="14"/>
  <c r="N34" i="16" s="1"/>
  <c r="M34" i="16"/>
  <c r="AF30" i="14"/>
  <c r="G34" i="18" s="1"/>
  <c r="AF38" i="16"/>
  <c r="M24" i="14"/>
  <c r="L32" i="16"/>
  <c r="M28" i="16"/>
  <c r="N20" i="14"/>
  <c r="N28" i="16" s="1"/>
  <c r="AD28" i="14"/>
  <c r="AD36" i="16" s="1"/>
  <c r="N28" i="14"/>
  <c r="M36" i="16"/>
  <c r="L35" i="16"/>
  <c r="AC27" i="14"/>
  <c r="N19" i="14"/>
  <c r="N27" i="16" s="1"/>
  <c r="M27" i="16"/>
  <c r="AC36" i="16"/>
  <c r="P11" i="12"/>
  <c r="O9" i="61"/>
  <c r="P9" i="61" s="1"/>
  <c r="P12" i="5"/>
  <c r="Q12" i="5" s="1"/>
  <c r="T12" i="2" s="1"/>
  <c r="P17" i="5"/>
  <c r="Q17" i="5" s="1"/>
  <c r="T17" i="2" s="1"/>
  <c r="B15" i="48"/>
  <c r="C14" i="48"/>
  <c r="J14" i="48" s="1"/>
  <c r="P14" i="48" s="1"/>
  <c r="E14" i="53"/>
  <c r="B15" i="54"/>
  <c r="I15" i="54" s="1"/>
  <c r="C14" i="54"/>
  <c r="C17" i="8"/>
  <c r="J17" i="8" s="1"/>
  <c r="E17" i="8"/>
  <c r="D17" i="8"/>
  <c r="B17" i="8"/>
  <c r="I17" i="8" s="1"/>
  <c r="N19" i="12"/>
  <c r="N16" i="12"/>
  <c r="N14" i="12"/>
  <c r="N38" i="16"/>
  <c r="O38" i="16" s="1"/>
  <c r="O30" i="14"/>
  <c r="D34" i="18" s="1"/>
  <c r="W21" i="12"/>
  <c r="I18" i="7"/>
  <c r="T20" i="2"/>
  <c r="M27" i="5"/>
  <c r="J36" i="18" s="1"/>
  <c r="X27" i="18" s="1"/>
  <c r="H106" i="4"/>
  <c r="P23" i="5"/>
  <c r="Q23" i="5" s="1"/>
  <c r="T23" i="2" s="1"/>
  <c r="D15" i="33"/>
  <c r="I15" i="33"/>
  <c r="O15" i="33" s="1"/>
  <c r="P21" i="12"/>
  <c r="K18" i="7"/>
  <c r="R8" i="2"/>
  <c r="R28" i="2" s="1"/>
  <c r="R18" i="2"/>
  <c r="B14" i="36"/>
  <c r="C13" i="36"/>
  <c r="J13" i="36" s="1"/>
  <c r="B19" i="7"/>
  <c r="C19" i="7"/>
  <c r="J19" i="7" s="1"/>
  <c r="D19" i="7"/>
  <c r="E19" i="7"/>
  <c r="AF32" i="14"/>
  <c r="G36" i="18" s="1"/>
  <c r="T28" i="63" s="1"/>
  <c r="W12" i="12"/>
  <c r="AE26" i="16"/>
  <c r="AF18" i="14"/>
  <c r="G22" i="18" s="1"/>
  <c r="P16" i="5"/>
  <c r="T13" i="2"/>
  <c r="E14" i="63" l="1"/>
  <c r="E30" i="63" s="1"/>
  <c r="C17" i="22"/>
  <c r="J17" i="22" s="1"/>
  <c r="B17" i="22"/>
  <c r="I17" i="22" s="1"/>
  <c r="E17" i="22"/>
  <c r="B18" i="22" s="1"/>
  <c r="I18" i="22" s="1"/>
  <c r="G21" i="14"/>
  <c r="G29" i="16" s="1"/>
  <c r="H24" i="62"/>
  <c r="K14" i="21"/>
  <c r="Q14" i="21" s="1"/>
  <c r="E14" i="21"/>
  <c r="E12" i="6"/>
  <c r="F29" i="14"/>
  <c r="F37" i="16" s="1"/>
  <c r="I34" i="18"/>
  <c r="J16" i="55"/>
  <c r="P28" i="55" s="1"/>
  <c r="J14" i="54"/>
  <c r="S8" i="2"/>
  <c r="S28" i="2" s="1"/>
  <c r="E40" i="16"/>
  <c r="E11" i="9"/>
  <c r="I14" i="35"/>
  <c r="D14" i="35"/>
  <c r="O18" i="5"/>
  <c r="P15" i="5"/>
  <c r="Q15" i="5" s="1"/>
  <c r="T15" i="2" s="1"/>
  <c r="B17" i="23"/>
  <c r="I17" i="23" s="1"/>
  <c r="C17" i="23"/>
  <c r="J17" i="23" s="1"/>
  <c r="E17" i="23"/>
  <c r="D17" i="23"/>
  <c r="K17" i="23" s="1"/>
  <c r="J108" i="4"/>
  <c r="J11" i="19" s="1"/>
  <c r="D14" i="34"/>
  <c r="I14" i="34"/>
  <c r="O26" i="34" s="1"/>
  <c r="B15" i="37"/>
  <c r="C14" i="37"/>
  <c r="J14" i="37" s="1"/>
  <c r="K18" i="56"/>
  <c r="E14" i="56"/>
  <c r="C18" i="24"/>
  <c r="J18" i="24" s="1"/>
  <c r="D18" i="24"/>
  <c r="K18" i="24" s="1"/>
  <c r="B18" i="24"/>
  <c r="I18" i="24" s="1"/>
  <c r="E18" i="24"/>
  <c r="I21" i="55"/>
  <c r="O33" i="55" s="1"/>
  <c r="D15" i="55"/>
  <c r="K18" i="55" s="1"/>
  <c r="Q30" i="55" s="1"/>
  <c r="P24" i="5"/>
  <c r="M26" i="16"/>
  <c r="N18" i="14"/>
  <c r="H12" i="62"/>
  <c r="H21" i="62"/>
  <c r="F29" i="16"/>
  <c r="J10" i="62"/>
  <c r="I10" i="62"/>
  <c r="M60" i="12"/>
  <c r="Y14" i="61"/>
  <c r="W22" i="12"/>
  <c r="J134" i="12"/>
  <c r="N13" i="61"/>
  <c r="N20" i="12"/>
  <c r="N12" i="61"/>
  <c r="N18" i="12"/>
  <c r="O17" i="12"/>
  <c r="I38" i="61"/>
  <c r="L59" i="12"/>
  <c r="J41" i="61"/>
  <c r="I12" i="14" s="1"/>
  <c r="I13" i="14" s="1"/>
  <c r="K25" i="12"/>
  <c r="O62" i="12"/>
  <c r="P62" i="12" s="1"/>
  <c r="J56" i="12"/>
  <c r="K56" i="12"/>
  <c r="Y64" i="12"/>
  <c r="X63" i="12"/>
  <c r="M59" i="12"/>
  <c r="N60" i="12"/>
  <c r="W62" i="12"/>
  <c r="O61" i="12"/>
  <c r="K27" i="12"/>
  <c r="X64" i="12"/>
  <c r="W63" i="12"/>
  <c r="N61" i="12"/>
  <c r="M16" i="61"/>
  <c r="N15" i="61"/>
  <c r="O23" i="12"/>
  <c r="O24" i="12" s="1"/>
  <c r="M17" i="61"/>
  <c r="N11" i="61"/>
  <c r="N10" i="61"/>
  <c r="Y9" i="61"/>
  <c r="N8" i="61"/>
  <c r="O10" i="12"/>
  <c r="T19" i="2"/>
  <c r="T24" i="2" s="1"/>
  <c r="B16" i="32"/>
  <c r="C15" i="32"/>
  <c r="J15" i="32" s="1"/>
  <c r="AA20" i="14"/>
  <c r="Z28" i="16"/>
  <c r="AA27" i="16"/>
  <c r="AB19" i="14"/>
  <c r="O26" i="14"/>
  <c r="D30" i="18" s="1"/>
  <c r="W25" i="14"/>
  <c r="V33" i="16"/>
  <c r="Y23" i="14"/>
  <c r="X31" i="16"/>
  <c r="V26" i="14"/>
  <c r="U34" i="16"/>
  <c r="W32" i="16"/>
  <c r="X24" i="14"/>
  <c r="O20" i="14"/>
  <c r="D24" i="18" s="1"/>
  <c r="O34" i="16"/>
  <c r="O19" i="14"/>
  <c r="D23" i="18" s="1"/>
  <c r="O27" i="16"/>
  <c r="O28" i="16"/>
  <c r="AC35" i="16"/>
  <c r="N36" i="16"/>
  <c r="O36" i="16" s="1"/>
  <c r="AE28" i="14"/>
  <c r="O28" i="14"/>
  <c r="D32" i="18" s="1"/>
  <c r="M32" i="16"/>
  <c r="N24" i="14"/>
  <c r="M35" i="16"/>
  <c r="AD27" i="14"/>
  <c r="AD35" i="16" s="1"/>
  <c r="D15" i="54"/>
  <c r="K15" i="54" s="1"/>
  <c r="K17" i="8"/>
  <c r="D18" i="8"/>
  <c r="K18" i="8" s="1"/>
  <c r="C18" i="8"/>
  <c r="J18" i="8" s="1"/>
  <c r="B18" i="8"/>
  <c r="I18" i="8" s="1"/>
  <c r="E18" i="8"/>
  <c r="B15" i="53"/>
  <c r="I15" i="53" s="1"/>
  <c r="O15" i="53" s="1"/>
  <c r="D12" i="52" s="1"/>
  <c r="C14" i="53"/>
  <c r="D15" i="48"/>
  <c r="I15" i="48"/>
  <c r="O15" i="48" s="1"/>
  <c r="O19" i="12"/>
  <c r="K25" i="61"/>
  <c r="O16" i="12"/>
  <c r="O14" i="12"/>
  <c r="AF26" i="16"/>
  <c r="F117" i="12"/>
  <c r="I19" i="7"/>
  <c r="H9" i="19"/>
  <c r="H8" i="19"/>
  <c r="H113" i="4"/>
  <c r="C20" i="7"/>
  <c r="J20" i="7" s="1"/>
  <c r="D20" i="7"/>
  <c r="B20" i="7"/>
  <c r="E20" i="7"/>
  <c r="Q24" i="5"/>
  <c r="F122" i="12"/>
  <c r="K19" i="7"/>
  <c r="K15" i="33"/>
  <c r="Q15" i="33" s="1"/>
  <c r="E15" i="33"/>
  <c r="L36" i="18"/>
  <c r="X21" i="12"/>
  <c r="D14" i="36"/>
  <c r="I14" i="36"/>
  <c r="H13" i="14"/>
  <c r="Q16" i="5"/>
  <c r="J22" i="18"/>
  <c r="X12" i="12"/>
  <c r="I36" i="18"/>
  <c r="D122" i="12"/>
  <c r="D15" i="18"/>
  <c r="D18" i="22" l="1"/>
  <c r="K18" i="22" s="1"/>
  <c r="E18" i="22"/>
  <c r="C18" i="22"/>
  <c r="J18" i="22" s="1"/>
  <c r="F31" i="14"/>
  <c r="J24" i="62"/>
  <c r="I24" i="62"/>
  <c r="F47" i="16"/>
  <c r="F33" i="14"/>
  <c r="F34" i="14" s="1"/>
  <c r="B15" i="21"/>
  <c r="I15" i="21" s="1"/>
  <c r="O15" i="21" s="1"/>
  <c r="F12" i="6"/>
  <c r="R15" i="33"/>
  <c r="J14" i="53"/>
  <c r="P14" i="53" s="1"/>
  <c r="E11" i="52" s="1"/>
  <c r="D12" i="9"/>
  <c r="J106" i="4"/>
  <c r="J113" i="4" s="1"/>
  <c r="P18" i="5"/>
  <c r="P27" i="5" s="1"/>
  <c r="E14" i="35"/>
  <c r="K14" i="35"/>
  <c r="O27" i="5"/>
  <c r="M36" i="18" s="1"/>
  <c r="O36" i="18" s="1"/>
  <c r="K108" i="4"/>
  <c r="L11" i="19" s="1"/>
  <c r="J10" i="19"/>
  <c r="E18" i="23"/>
  <c r="D18" i="23"/>
  <c r="K18" i="23" s="1"/>
  <c r="C18" i="23"/>
  <c r="J18" i="23" s="1"/>
  <c r="B18" i="23"/>
  <c r="I18" i="23" s="1"/>
  <c r="K14" i="34"/>
  <c r="Q26" i="34" s="1"/>
  <c r="E14" i="34"/>
  <c r="D15" i="37"/>
  <c r="I15" i="37"/>
  <c r="B15" i="56"/>
  <c r="C14" i="56"/>
  <c r="J18" i="56" s="1"/>
  <c r="D19" i="22"/>
  <c r="K19" i="22" s="1"/>
  <c r="E19" i="22"/>
  <c r="B19" i="22"/>
  <c r="I19" i="22" s="1"/>
  <c r="C19" i="22"/>
  <c r="J19" i="22" s="1"/>
  <c r="B19" i="24"/>
  <c r="I19" i="24" s="1"/>
  <c r="C19" i="24"/>
  <c r="J19" i="24" s="1"/>
  <c r="E19" i="24"/>
  <c r="D19" i="24"/>
  <c r="K19" i="24" s="1"/>
  <c r="K21" i="55"/>
  <c r="Q33" i="55" s="1"/>
  <c r="E15" i="55"/>
  <c r="N26" i="16"/>
  <c r="O26" i="16" s="1"/>
  <c r="O18" i="14"/>
  <c r="D22" i="18" s="1"/>
  <c r="I12" i="62"/>
  <c r="I21" i="62"/>
  <c r="J12" i="62"/>
  <c r="J21" i="62"/>
  <c r="H21" i="14"/>
  <c r="K8" i="62"/>
  <c r="K7" i="62"/>
  <c r="Z14" i="61"/>
  <c r="X22" i="12"/>
  <c r="O13" i="61"/>
  <c r="O20" i="12"/>
  <c r="P20" i="12" s="1"/>
  <c r="O18" i="12"/>
  <c r="P18" i="12" s="1"/>
  <c r="O12" i="61"/>
  <c r="P12" i="61" s="1"/>
  <c r="F120" i="12" s="1"/>
  <c r="W17" i="12"/>
  <c r="P17" i="12"/>
  <c r="I21" i="14"/>
  <c r="K37" i="12"/>
  <c r="K36" i="61"/>
  <c r="K37" i="61" s="1"/>
  <c r="K38" i="61" s="1"/>
  <c r="J10" i="14"/>
  <c r="P61" i="12"/>
  <c r="P9" i="12"/>
  <c r="N17" i="61"/>
  <c r="L25" i="12"/>
  <c r="L27" i="12"/>
  <c r="N16" i="61"/>
  <c r="O15" i="61"/>
  <c r="P15" i="61" s="1"/>
  <c r="F123" i="12" s="1"/>
  <c r="P23" i="12"/>
  <c r="W23" i="12"/>
  <c r="W24" i="12" s="1"/>
  <c r="O11" i="61"/>
  <c r="P11" i="61" s="1"/>
  <c r="F119" i="12" s="1"/>
  <c r="Z9" i="61"/>
  <c r="P10" i="12"/>
  <c r="D9" i="18" s="1"/>
  <c r="W10" i="12"/>
  <c r="O8" i="61"/>
  <c r="P8" i="61" s="1"/>
  <c r="F116" i="12" s="1"/>
  <c r="P19" i="12"/>
  <c r="D16" i="32"/>
  <c r="I16" i="32"/>
  <c r="X25" i="14"/>
  <c r="W33" i="16"/>
  <c r="Y24" i="14"/>
  <c r="X32" i="16"/>
  <c r="V34" i="16"/>
  <c r="W26" i="14"/>
  <c r="Y31" i="16"/>
  <c r="Z23" i="14"/>
  <c r="AC19" i="14"/>
  <c r="AB27" i="16"/>
  <c r="AB20" i="14"/>
  <c r="AA28" i="16"/>
  <c r="AE27" i="14"/>
  <c r="AE35" i="16" s="1"/>
  <c r="AF35" i="16" s="1"/>
  <c r="N35" i="16"/>
  <c r="O35" i="16" s="1"/>
  <c r="O27" i="14"/>
  <c r="D31" i="18" s="1"/>
  <c r="AE36" i="16"/>
  <c r="AF36" i="16" s="1"/>
  <c r="AF28" i="14"/>
  <c r="G32" i="18" s="1"/>
  <c r="N32" i="16"/>
  <c r="O32" i="16" s="1"/>
  <c r="O24" i="14"/>
  <c r="D28" i="18" s="1"/>
  <c r="P13" i="12"/>
  <c r="O10" i="61"/>
  <c r="D15" i="53"/>
  <c r="K15" i="53" s="1"/>
  <c r="Q15" i="53" s="1"/>
  <c r="F12" i="52" s="1"/>
  <c r="K15" i="48"/>
  <c r="Q15" i="48" s="1"/>
  <c r="E15" i="48"/>
  <c r="B19" i="8"/>
  <c r="I19" i="8" s="1"/>
  <c r="E19" i="8"/>
  <c r="D19" i="8"/>
  <c r="C19" i="8"/>
  <c r="J19" i="8" s="1"/>
  <c r="E15" i="54"/>
  <c r="W19" i="12"/>
  <c r="M25" i="61"/>
  <c r="P15" i="12"/>
  <c r="W16" i="12"/>
  <c r="W14" i="12"/>
  <c r="M22" i="18"/>
  <c r="T16" i="2"/>
  <c r="Q18" i="5"/>
  <c r="Q27" i="5" s="1"/>
  <c r="P36" i="18" s="1"/>
  <c r="Y21" i="12"/>
  <c r="B16" i="33"/>
  <c r="C15" i="33"/>
  <c r="J15" i="33" s="1"/>
  <c r="P15" i="33" s="1"/>
  <c r="K20" i="7"/>
  <c r="H7" i="19"/>
  <c r="H122" i="12"/>
  <c r="I122" i="12" s="1"/>
  <c r="B21" i="7"/>
  <c r="E21" i="7"/>
  <c r="D21" i="7"/>
  <c r="C21" i="7"/>
  <c r="J21" i="7" s="1"/>
  <c r="Y12" i="12"/>
  <c r="K14" i="36"/>
  <c r="E14" i="36"/>
  <c r="I20" i="7"/>
  <c r="R26" i="34" l="1"/>
  <c r="I22" i="18"/>
  <c r="D13" i="6"/>
  <c r="F41" i="16"/>
  <c r="D15" i="21"/>
  <c r="C15" i="21" s="1"/>
  <c r="J15" i="21" s="1"/>
  <c r="P15" i="21" s="1"/>
  <c r="F12" i="9"/>
  <c r="R15" i="48"/>
  <c r="J8" i="19"/>
  <c r="J9" i="19"/>
  <c r="L10" i="19"/>
  <c r="AA27" i="18"/>
  <c r="B15" i="35"/>
  <c r="C14" i="35"/>
  <c r="J14" i="35" s="1"/>
  <c r="B19" i="23"/>
  <c r="I19" i="23" s="1"/>
  <c r="E19" i="23"/>
  <c r="C19" i="23"/>
  <c r="J19" i="23" s="1"/>
  <c r="D19" i="23"/>
  <c r="K19" i="23" s="1"/>
  <c r="B15" i="34"/>
  <c r="C14" i="34"/>
  <c r="J14" i="34" s="1"/>
  <c r="P26" i="34" s="1"/>
  <c r="K15" i="37"/>
  <c r="E15" i="37"/>
  <c r="D15" i="56"/>
  <c r="I21" i="56"/>
  <c r="B20" i="24"/>
  <c r="I20" i="24" s="1"/>
  <c r="E20" i="24"/>
  <c r="C20" i="24"/>
  <c r="J20" i="24" s="1"/>
  <c r="D20" i="24"/>
  <c r="K20" i="24" s="1"/>
  <c r="B16" i="55"/>
  <c r="I20" i="55" s="1"/>
  <c r="O32" i="55" s="1"/>
  <c r="C15" i="55"/>
  <c r="E20" i="22"/>
  <c r="C20" i="22"/>
  <c r="J20" i="22" s="1"/>
  <c r="D20" i="22"/>
  <c r="K20" i="22" s="1"/>
  <c r="B20" i="22"/>
  <c r="I20" i="22" s="1"/>
  <c r="H29" i="16"/>
  <c r="M52" i="62"/>
  <c r="K134" i="12"/>
  <c r="K10" i="62"/>
  <c r="L8" i="62"/>
  <c r="L7" i="62"/>
  <c r="X62" i="12"/>
  <c r="Y63" i="12"/>
  <c r="W61" i="12"/>
  <c r="D116" i="12"/>
  <c r="AA14" i="61"/>
  <c r="Y22" i="12"/>
  <c r="Y13" i="61"/>
  <c r="W20" i="12"/>
  <c r="I29" i="16"/>
  <c r="K41" i="61"/>
  <c r="J12" i="14" s="1"/>
  <c r="J13" i="14" s="1"/>
  <c r="Y12" i="61"/>
  <c r="W18" i="12"/>
  <c r="X17" i="12"/>
  <c r="N59" i="12"/>
  <c r="O60" i="12"/>
  <c r="P60" i="12" s="1"/>
  <c r="Z64" i="12"/>
  <c r="L56" i="12"/>
  <c r="M25" i="12"/>
  <c r="L36" i="61"/>
  <c r="L37" i="61" s="1"/>
  <c r="L38" i="61" s="1"/>
  <c r="K10" i="14"/>
  <c r="L37" i="12"/>
  <c r="P14" i="12"/>
  <c r="M27" i="12"/>
  <c r="Y15" i="61"/>
  <c r="X23" i="12"/>
  <c r="X24" i="12" s="1"/>
  <c r="Y11" i="61"/>
  <c r="Y10" i="61"/>
  <c r="Y8" i="61"/>
  <c r="X10" i="12"/>
  <c r="AA9" i="61"/>
  <c r="O17" i="61"/>
  <c r="P17" i="61" s="1"/>
  <c r="O16" i="61"/>
  <c r="K16" i="32"/>
  <c r="E16" i="32"/>
  <c r="AB28" i="16"/>
  <c r="AC20" i="14"/>
  <c r="Y32" i="16"/>
  <c r="Z24" i="14"/>
  <c r="W34" i="16"/>
  <c r="X26" i="14"/>
  <c r="AA23" i="14"/>
  <c r="Z31" i="16"/>
  <c r="AC27" i="16"/>
  <c r="AD19" i="14"/>
  <c r="Y25" i="14"/>
  <c r="X33" i="16"/>
  <c r="AF27" i="14"/>
  <c r="G31" i="18" s="1"/>
  <c r="J31" i="18" s="1"/>
  <c r="M31" i="18" s="1"/>
  <c r="P31" i="18" s="1"/>
  <c r="J32" i="18"/>
  <c r="M32" i="18" s="1"/>
  <c r="P32" i="18" s="1"/>
  <c r="I32" i="18"/>
  <c r="P24" i="12"/>
  <c r="D123" i="12" s="1"/>
  <c r="H123" i="12" s="1"/>
  <c r="I123" i="12" s="1"/>
  <c r="K19" i="8"/>
  <c r="B16" i="54"/>
  <c r="I16" i="54" s="1"/>
  <c r="C15" i="54"/>
  <c r="C20" i="8"/>
  <c r="J20" i="8" s="1"/>
  <c r="D20" i="8"/>
  <c r="K20" i="8" s="1"/>
  <c r="B20" i="8"/>
  <c r="I20" i="8" s="1"/>
  <c r="E20" i="8"/>
  <c r="B16" i="48"/>
  <c r="C15" i="48"/>
  <c r="J15" i="48" s="1"/>
  <c r="P15" i="48" s="1"/>
  <c r="E15" i="53"/>
  <c r="D121" i="12"/>
  <c r="D14" i="18"/>
  <c r="X19" i="12"/>
  <c r="N25" i="61"/>
  <c r="P13" i="61"/>
  <c r="F121" i="12" s="1"/>
  <c r="P10" i="61"/>
  <c r="F118" i="12" s="1"/>
  <c r="X14" i="12"/>
  <c r="X16" i="12"/>
  <c r="D13" i="18"/>
  <c r="D120" i="12"/>
  <c r="H120" i="12" s="1"/>
  <c r="I120" i="12" s="1"/>
  <c r="P22" i="18"/>
  <c r="D16" i="33"/>
  <c r="I16" i="33"/>
  <c r="O16" i="33" s="1"/>
  <c r="Z21" i="12"/>
  <c r="R36" i="18"/>
  <c r="AC27" i="18"/>
  <c r="K21" i="7"/>
  <c r="T18" i="2"/>
  <c r="T8" i="2"/>
  <c r="T28" i="2" s="1"/>
  <c r="I21" i="7"/>
  <c r="B15" i="36"/>
  <c r="C14" i="36"/>
  <c r="J14" i="36" s="1"/>
  <c r="Z12" i="12"/>
  <c r="B22" i="7"/>
  <c r="D22" i="7"/>
  <c r="E22" i="7"/>
  <c r="C22" i="7"/>
  <c r="J22" i="7" s="1"/>
  <c r="S7" i="19"/>
  <c r="K106" i="4"/>
  <c r="K24" i="62" l="1"/>
  <c r="E13" i="6"/>
  <c r="K15" i="21"/>
  <c r="Q15" i="21" s="1"/>
  <c r="F13" i="6" s="1"/>
  <c r="E15" i="21"/>
  <c r="G29" i="14"/>
  <c r="J21" i="55"/>
  <c r="P33" i="55" s="1"/>
  <c r="J18" i="55"/>
  <c r="P30" i="55" s="1"/>
  <c r="J15" i="54"/>
  <c r="J7" i="19"/>
  <c r="E12" i="9"/>
  <c r="F40" i="16"/>
  <c r="I15" i="35"/>
  <c r="D15" i="35"/>
  <c r="D20" i="23"/>
  <c r="K20" i="23" s="1"/>
  <c r="E20" i="23"/>
  <c r="B20" i="23"/>
  <c r="I20" i="23" s="1"/>
  <c r="C20" i="23"/>
  <c r="J20" i="23" s="1"/>
  <c r="D15" i="34"/>
  <c r="I15" i="34"/>
  <c r="O27" i="34" s="1"/>
  <c r="B16" i="37"/>
  <c r="C15" i="37"/>
  <c r="J15" i="37" s="1"/>
  <c r="K21" i="56"/>
  <c r="E15" i="56"/>
  <c r="C21" i="22"/>
  <c r="J21" i="22" s="1"/>
  <c r="D21" i="22"/>
  <c r="K21" i="22" s="1"/>
  <c r="E21" i="22"/>
  <c r="B21" i="22"/>
  <c r="I21" i="22" s="1"/>
  <c r="E21" i="24"/>
  <c r="B21" i="24"/>
  <c r="I21" i="24" s="1"/>
  <c r="C21" i="24"/>
  <c r="J21" i="24" s="1"/>
  <c r="D21" i="24"/>
  <c r="K21" i="24" s="1"/>
  <c r="D16" i="55"/>
  <c r="K20" i="55" s="1"/>
  <c r="Q32" i="55" s="1"/>
  <c r="K21" i="62"/>
  <c r="L10" i="62"/>
  <c r="K21" i="14" s="1"/>
  <c r="M8" i="62"/>
  <c r="M7" i="62"/>
  <c r="K12" i="62"/>
  <c r="J21" i="14"/>
  <c r="O59" i="12"/>
  <c r="P59" i="12" s="1"/>
  <c r="H116" i="12"/>
  <c r="I116" i="12" s="1"/>
  <c r="W60" i="12"/>
  <c r="AB14" i="61"/>
  <c r="Z22" i="12"/>
  <c r="Z13" i="61"/>
  <c r="X20" i="12"/>
  <c r="L10" i="14"/>
  <c r="X61" i="12"/>
  <c r="Z12" i="61"/>
  <c r="X18" i="12"/>
  <c r="Y17" i="12"/>
  <c r="M37" i="12"/>
  <c r="Y62" i="12"/>
  <c r="M36" i="61"/>
  <c r="M37" i="61" s="1"/>
  <c r="M38" i="61" s="1"/>
  <c r="M134" i="12"/>
  <c r="H121" i="12"/>
  <c r="I121" i="12" s="1"/>
  <c r="L41" i="61"/>
  <c r="K12" i="14" s="1"/>
  <c r="K13" i="14" s="1"/>
  <c r="O27" i="12"/>
  <c r="O25" i="12"/>
  <c r="Z63" i="12"/>
  <c r="P16" i="12"/>
  <c r="M56" i="12"/>
  <c r="L134" i="12"/>
  <c r="AA64" i="12"/>
  <c r="P12" i="12"/>
  <c r="D117" i="12" s="1"/>
  <c r="H117" i="12" s="1"/>
  <c r="I117" i="12" s="1"/>
  <c r="N25" i="12"/>
  <c r="N27" i="12"/>
  <c r="Z15" i="61"/>
  <c r="Y23" i="12"/>
  <c r="Y24" i="12" s="1"/>
  <c r="Y16" i="61"/>
  <c r="Y25" i="61" s="1"/>
  <c r="Z11" i="61"/>
  <c r="Z10" i="61"/>
  <c r="Y17" i="61"/>
  <c r="AB9" i="61"/>
  <c r="Z8" i="61"/>
  <c r="Y10" i="12"/>
  <c r="D16" i="18"/>
  <c r="W27" i="12"/>
  <c r="W25" i="12"/>
  <c r="B17" i="32"/>
  <c r="C16" i="32"/>
  <c r="J16" i="32" s="1"/>
  <c r="AE19" i="14"/>
  <c r="AF19" i="14" s="1"/>
  <c r="G23" i="18" s="1"/>
  <c r="AD27" i="16"/>
  <c r="Z32" i="16"/>
  <c r="AA24" i="14"/>
  <c r="Y26" i="14"/>
  <c r="X34" i="16"/>
  <c r="I31" i="18"/>
  <c r="AD20" i="14"/>
  <c r="AC28" i="16"/>
  <c r="AA31" i="16"/>
  <c r="AB23" i="14"/>
  <c r="Z25" i="14"/>
  <c r="Y33" i="16"/>
  <c r="F125" i="12"/>
  <c r="B16" i="53"/>
  <c r="I16" i="53" s="1"/>
  <c r="O16" i="53" s="1"/>
  <c r="C15" i="53"/>
  <c r="E21" i="8"/>
  <c r="D21" i="8"/>
  <c r="K21" i="8" s="1"/>
  <c r="B21" i="8"/>
  <c r="I21" i="8" s="1"/>
  <c r="C21" i="8"/>
  <c r="J21" i="8" s="1"/>
  <c r="D16" i="54"/>
  <c r="K16" i="54" s="1"/>
  <c r="I16" i="48"/>
  <c r="O16" i="48" s="1"/>
  <c r="D16" i="48"/>
  <c r="Y19" i="12"/>
  <c r="Y16" i="12"/>
  <c r="Y14" i="12"/>
  <c r="O25" i="61"/>
  <c r="D11" i="18"/>
  <c r="D118" i="12"/>
  <c r="P16" i="61"/>
  <c r="Q12" i="63" s="1"/>
  <c r="K16" i="33"/>
  <c r="Q16" i="33" s="1"/>
  <c r="E16" i="33"/>
  <c r="L9" i="19"/>
  <c r="L8" i="19"/>
  <c r="K113" i="4"/>
  <c r="AA12" i="12"/>
  <c r="K22" i="7"/>
  <c r="F22" i="7"/>
  <c r="I22" i="7"/>
  <c r="C23" i="7"/>
  <c r="J23" i="7" s="1"/>
  <c r="D23" i="7"/>
  <c r="S3" i="7"/>
  <c r="E23" i="7"/>
  <c r="B23" i="7"/>
  <c r="I15" i="36"/>
  <c r="D15" i="36"/>
  <c r="AA21" i="12"/>
  <c r="L24" i="62" l="1"/>
  <c r="R15" i="61"/>
  <c r="R11" i="61"/>
  <c r="R14" i="61"/>
  <c r="R10" i="61"/>
  <c r="R8" i="61"/>
  <c r="R13" i="61"/>
  <c r="R9" i="61"/>
  <c r="R12" i="61"/>
  <c r="G41" i="16"/>
  <c r="G37" i="16"/>
  <c r="G47" i="16" s="1"/>
  <c r="G33" i="14"/>
  <c r="G34" i="14" s="1"/>
  <c r="G31" i="14"/>
  <c r="B16" i="21"/>
  <c r="I16" i="21" s="1"/>
  <c r="O16" i="21" s="1"/>
  <c r="R16" i="33"/>
  <c r="U7" i="19"/>
  <c r="D13" i="52"/>
  <c r="J15" i="53"/>
  <c r="P15" i="53" s="1"/>
  <c r="E12" i="52" s="1"/>
  <c r="D13" i="9"/>
  <c r="E15" i="35"/>
  <c r="K15" i="35"/>
  <c r="D21" i="23"/>
  <c r="K21" i="23" s="1"/>
  <c r="B21" i="23"/>
  <c r="I21" i="23" s="1"/>
  <c r="E21" i="23"/>
  <c r="C21" i="23"/>
  <c r="J21" i="23" s="1"/>
  <c r="E15" i="34"/>
  <c r="K15" i="34"/>
  <c r="Q27" i="34" s="1"/>
  <c r="D16" i="37"/>
  <c r="I16" i="37"/>
  <c r="B16" i="56"/>
  <c r="C15" i="56"/>
  <c r="J21" i="56" s="1"/>
  <c r="E16" i="55"/>
  <c r="D22" i="22"/>
  <c r="E22" i="22"/>
  <c r="C22" i="22"/>
  <c r="J22" i="22" s="1"/>
  <c r="B22" i="22"/>
  <c r="I22" i="22" s="1"/>
  <c r="D22" i="24"/>
  <c r="K22" i="24" s="1"/>
  <c r="E22" i="24"/>
  <c r="B22" i="24"/>
  <c r="I22" i="24" s="1"/>
  <c r="C22" i="24"/>
  <c r="J22" i="24" s="1"/>
  <c r="L12" i="62"/>
  <c r="L21" i="62"/>
  <c r="J29" i="16"/>
  <c r="O8" i="62"/>
  <c r="O7" i="62"/>
  <c r="W8" i="62"/>
  <c r="W7" i="62"/>
  <c r="N8" i="62"/>
  <c r="N7" i="62"/>
  <c r="M10" i="62"/>
  <c r="M24" i="62" s="1"/>
  <c r="Y61" i="12"/>
  <c r="M41" i="61"/>
  <c r="L12" i="14" s="1"/>
  <c r="L13" i="14" s="1"/>
  <c r="O36" i="61"/>
  <c r="O37" i="61" s="1"/>
  <c r="O38" i="61" s="1"/>
  <c r="N10" i="14"/>
  <c r="AC14" i="61"/>
  <c r="AA22" i="12"/>
  <c r="AA13" i="61"/>
  <c r="Y20" i="12"/>
  <c r="W59" i="12"/>
  <c r="AA63" i="12"/>
  <c r="X60" i="12"/>
  <c r="AA12" i="61"/>
  <c r="Y18" i="12"/>
  <c r="Z17" i="12"/>
  <c r="Z62" i="12"/>
  <c r="AB64" i="12"/>
  <c r="N56" i="12"/>
  <c r="O37" i="12"/>
  <c r="Y59" i="12" s="1"/>
  <c r="P27" i="12"/>
  <c r="K29" i="16"/>
  <c r="P25" i="12"/>
  <c r="D10" i="18"/>
  <c r="D12" i="18"/>
  <c r="D119" i="12"/>
  <c r="H119" i="12" s="1"/>
  <c r="I119" i="12" s="1"/>
  <c r="Z16" i="61"/>
  <c r="N36" i="61"/>
  <c r="N37" i="61" s="1"/>
  <c r="N38" i="61" s="1"/>
  <c r="N37" i="12"/>
  <c r="M10" i="14"/>
  <c r="AA15" i="61"/>
  <c r="Z23" i="12"/>
  <c r="Z24" i="12" s="1"/>
  <c r="Z17" i="61"/>
  <c r="AA11" i="61"/>
  <c r="AA10" i="61"/>
  <c r="AC9" i="61"/>
  <c r="AA8" i="61"/>
  <c r="Z10" i="12"/>
  <c r="X27" i="12"/>
  <c r="X25" i="12"/>
  <c r="I23" i="18"/>
  <c r="J23" i="18"/>
  <c r="I17" i="32"/>
  <c r="D17" i="32"/>
  <c r="Z26" i="14"/>
  <c r="Y34" i="16"/>
  <c r="AE27" i="16"/>
  <c r="AF27" i="16" s="1"/>
  <c r="AA25" i="14"/>
  <c r="Z33" i="16"/>
  <c r="AB31" i="16"/>
  <c r="AC23" i="14"/>
  <c r="AD28" i="16"/>
  <c r="AE20" i="14"/>
  <c r="AB24" i="14"/>
  <c r="AA32" i="16"/>
  <c r="G122" i="12"/>
  <c r="G116" i="12"/>
  <c r="G117" i="12"/>
  <c r="G119" i="12"/>
  <c r="G123" i="12"/>
  <c r="G118" i="12"/>
  <c r="G120" i="12"/>
  <c r="G121" i="12"/>
  <c r="K16" i="48"/>
  <c r="Q16" i="48" s="1"/>
  <c r="E16" i="48"/>
  <c r="D22" i="8"/>
  <c r="E22" i="8"/>
  <c r="C22" i="8"/>
  <c r="J22" i="8" s="1"/>
  <c r="B22" i="8"/>
  <c r="I22" i="8" s="1"/>
  <c r="E16" i="54"/>
  <c r="D16" i="53"/>
  <c r="K16" i="53" s="1"/>
  <c r="Q16" i="53" s="1"/>
  <c r="G23" i="42"/>
  <c r="G24" i="42" s="1"/>
  <c r="AI23" i="42"/>
  <c r="AI24" i="42" s="1"/>
  <c r="Z19" i="12"/>
  <c r="Y36" i="61"/>
  <c r="Y37" i="61" s="1"/>
  <c r="Y38" i="61" s="1"/>
  <c r="T10" i="14"/>
  <c r="W37" i="12"/>
  <c r="H118" i="12"/>
  <c r="I118" i="12" s="1"/>
  <c r="Z16" i="12"/>
  <c r="Q17" i="61"/>
  <c r="Y26" i="61" s="1"/>
  <c r="P25" i="61"/>
  <c r="Z14" i="12"/>
  <c r="L7" i="19"/>
  <c r="K15" i="36"/>
  <c r="E15" i="36"/>
  <c r="W21" i="7"/>
  <c r="B17" i="33"/>
  <c r="C16" i="33"/>
  <c r="J16" i="33" s="1"/>
  <c r="P16" i="33" s="1"/>
  <c r="AB21" i="12"/>
  <c r="B24" i="7"/>
  <c r="E24" i="7"/>
  <c r="D24" i="7"/>
  <c r="C24" i="7"/>
  <c r="J24" i="7" s="1"/>
  <c r="K23" i="7"/>
  <c r="I23" i="7"/>
  <c r="AB12" i="12"/>
  <c r="R27" i="34" l="1"/>
  <c r="G62" i="61"/>
  <c r="R22" i="12"/>
  <c r="R14" i="12"/>
  <c r="Z44" i="12" s="1"/>
  <c r="R20" i="12"/>
  <c r="R12" i="12"/>
  <c r="R18" i="12"/>
  <c r="R10" i="12"/>
  <c r="R24" i="12"/>
  <c r="R16" i="12"/>
  <c r="Z43" i="12" s="1"/>
  <c r="H89" i="61"/>
  <c r="D16" i="21"/>
  <c r="C16" i="21" s="1"/>
  <c r="J16" i="21" s="1"/>
  <c r="P16" i="21" s="1"/>
  <c r="E14" i="6" s="1"/>
  <c r="D14" i="6"/>
  <c r="F13" i="52"/>
  <c r="F13" i="9"/>
  <c r="R16" i="48"/>
  <c r="B16" i="35"/>
  <c r="C15" i="35"/>
  <c r="J15" i="35" s="1"/>
  <c r="D22" i="23"/>
  <c r="B22" i="23"/>
  <c r="I22" i="23" s="1"/>
  <c r="E22" i="23"/>
  <c r="C22" i="23"/>
  <c r="J22" i="23" s="1"/>
  <c r="B16" i="34"/>
  <c r="C15" i="34"/>
  <c r="J15" i="34" s="1"/>
  <c r="P27" i="34" s="1"/>
  <c r="F22" i="24"/>
  <c r="K16" i="37"/>
  <c r="E16" i="37"/>
  <c r="I24" i="56"/>
  <c r="D16" i="56"/>
  <c r="S4" i="24"/>
  <c r="C23" i="24"/>
  <c r="J23" i="24" s="1"/>
  <c r="D23" i="24"/>
  <c r="K23" i="24" s="1"/>
  <c r="E23" i="24"/>
  <c r="B23" i="24"/>
  <c r="I23" i="24" s="1"/>
  <c r="K22" i="22"/>
  <c r="F22" i="22"/>
  <c r="S5" i="22"/>
  <c r="E23" i="22"/>
  <c r="B23" i="22"/>
  <c r="I23" i="22" s="1"/>
  <c r="D23" i="22"/>
  <c r="K23" i="22" s="1"/>
  <c r="C23" i="22"/>
  <c r="J23" i="22" s="1"/>
  <c r="B17" i="55"/>
  <c r="I22" i="55" s="1"/>
  <c r="O34" i="55" s="1"/>
  <c r="O4" i="55" s="1"/>
  <c r="C16" i="55"/>
  <c r="M53" i="62"/>
  <c r="P8" i="62"/>
  <c r="M12" i="62"/>
  <c r="M21" i="62"/>
  <c r="N10" i="62"/>
  <c r="N24" i="62" s="1"/>
  <c r="L21" i="14"/>
  <c r="AA61" i="12"/>
  <c r="Z60" i="12"/>
  <c r="W10" i="62"/>
  <c r="X8" i="62"/>
  <c r="X7" i="62"/>
  <c r="AD64" i="12"/>
  <c r="O10" i="62"/>
  <c r="P7" i="62"/>
  <c r="O134" i="12"/>
  <c r="AB62" i="12"/>
  <c r="AC63" i="12"/>
  <c r="O55" i="12"/>
  <c r="O10" i="14"/>
  <c r="D8" i="18" s="1"/>
  <c r="W56" i="12"/>
  <c r="P38" i="61"/>
  <c r="O41" i="61"/>
  <c r="N12" i="14" s="1"/>
  <c r="AD14" i="61"/>
  <c r="AB22" i="12"/>
  <c r="AB13" i="61"/>
  <c r="Z20" i="12"/>
  <c r="AB12" i="61"/>
  <c r="Z18" i="12"/>
  <c r="AA17" i="12"/>
  <c r="D125" i="12"/>
  <c r="E117" i="12" s="1"/>
  <c r="H91" i="12"/>
  <c r="G91" i="12"/>
  <c r="N91" i="12"/>
  <c r="F91" i="12"/>
  <c r="I91" i="12"/>
  <c r="L91" i="12"/>
  <c r="M91" i="12"/>
  <c r="J91" i="12"/>
  <c r="D91" i="12"/>
  <c r="E91" i="12"/>
  <c r="P91" i="12"/>
  <c r="K91" i="12"/>
  <c r="O91" i="12"/>
  <c r="AA16" i="61"/>
  <c r="AA25" i="61" s="1"/>
  <c r="AA26" i="61" s="1"/>
  <c r="N41" i="61"/>
  <c r="P37" i="12"/>
  <c r="AA17" i="61"/>
  <c r="P37" i="61"/>
  <c r="O56" i="12"/>
  <c r="P56" i="12" s="1"/>
  <c r="Y60" i="12"/>
  <c r="AB63" i="12"/>
  <c r="AC64" i="12"/>
  <c r="Z61" i="12"/>
  <c r="AA62" i="12"/>
  <c r="N55" i="12"/>
  <c r="X59" i="12"/>
  <c r="N134" i="12"/>
  <c r="P36" i="61"/>
  <c r="AB15" i="61"/>
  <c r="AA23" i="12"/>
  <c r="AA24" i="12" s="1"/>
  <c r="AB11" i="61"/>
  <c r="AB10" i="61"/>
  <c r="AD9" i="61"/>
  <c r="AB8" i="61"/>
  <c r="AA10" i="12"/>
  <c r="Y41" i="61"/>
  <c r="T12" i="14" s="1"/>
  <c r="Y27" i="12"/>
  <c r="Y25" i="12"/>
  <c r="M23" i="18"/>
  <c r="P23" i="18" s="1"/>
  <c r="K17" i="32"/>
  <c r="E17" i="32"/>
  <c r="AB25" i="14"/>
  <c r="AA33" i="16"/>
  <c r="Z34" i="16"/>
  <c r="AA26" i="14"/>
  <c r="AB32" i="16"/>
  <c r="AC24" i="14"/>
  <c r="AC31" i="16"/>
  <c r="AD23" i="14"/>
  <c r="AF20" i="14"/>
  <c r="G24" i="18" s="1"/>
  <c r="AE28" i="16"/>
  <c r="AF28" i="16" s="1"/>
  <c r="O26" i="61"/>
  <c r="O49" i="61" s="1"/>
  <c r="AA70" i="61" s="1"/>
  <c r="G125" i="12"/>
  <c r="E23" i="8"/>
  <c r="S7" i="8"/>
  <c r="C23" i="8"/>
  <c r="J23" i="8" s="1"/>
  <c r="D23" i="8"/>
  <c r="K23" i="8" s="1"/>
  <c r="B23" i="8"/>
  <c r="I23" i="8" s="1"/>
  <c r="C16" i="54"/>
  <c r="B17" i="54"/>
  <c r="I17" i="54" s="1"/>
  <c r="K22" i="8"/>
  <c r="F22" i="8"/>
  <c r="B17" i="48"/>
  <c r="C16" i="48"/>
  <c r="J16" i="48" s="1"/>
  <c r="P16" i="48" s="1"/>
  <c r="E13" i="9" s="1"/>
  <c r="E16" i="53"/>
  <c r="AA19" i="12"/>
  <c r="Z25" i="61"/>
  <c r="Z26" i="61" s="1"/>
  <c r="X37" i="12"/>
  <c r="U10" i="14"/>
  <c r="Z36" i="61"/>
  <c r="Z37" i="61" s="1"/>
  <c r="Z38" i="61" s="1"/>
  <c r="R16" i="61"/>
  <c r="AB61" i="12"/>
  <c r="Z59" i="12"/>
  <c r="AA60" i="12"/>
  <c r="AE64" i="12"/>
  <c r="AD63" i="12"/>
  <c r="AC62" i="12"/>
  <c r="X56" i="12"/>
  <c r="AA14" i="12"/>
  <c r="D26" i="61"/>
  <c r="I26" i="61"/>
  <c r="I49" i="61" s="1"/>
  <c r="M26" i="61"/>
  <c r="M49" i="61" s="1"/>
  <c r="N26" i="61"/>
  <c r="N49" i="61" s="1"/>
  <c r="H26" i="61"/>
  <c r="H49" i="61" s="1"/>
  <c r="E26" i="61"/>
  <c r="E49" i="61" s="1"/>
  <c r="J26" i="61"/>
  <c r="J49" i="61" s="1"/>
  <c r="F26" i="61"/>
  <c r="F49" i="61" s="1"/>
  <c r="G26" i="61"/>
  <c r="G49" i="61" s="1"/>
  <c r="K26" i="61"/>
  <c r="K49" i="61" s="1"/>
  <c r="L26" i="61"/>
  <c r="L49" i="61" s="1"/>
  <c r="AA16" i="12"/>
  <c r="K24" i="7"/>
  <c r="W7" i="19"/>
  <c r="C25" i="7"/>
  <c r="J25" i="7" s="1"/>
  <c r="D25" i="7"/>
  <c r="E25" i="7"/>
  <c r="B25" i="7"/>
  <c r="AC12" i="12"/>
  <c r="I24" i="7"/>
  <c r="AC21" i="12"/>
  <c r="B16" i="36"/>
  <c r="C15" i="36"/>
  <c r="J15" i="36" s="1"/>
  <c r="I17" i="33"/>
  <c r="O17" i="33" s="1"/>
  <c r="D17" i="33"/>
  <c r="Y49" i="61"/>
  <c r="W58" i="12" l="1"/>
  <c r="X58" i="12"/>
  <c r="O57" i="12"/>
  <c r="W57" i="12"/>
  <c r="G51" i="12"/>
  <c r="D55" i="12"/>
  <c r="D65" i="12" s="1"/>
  <c r="C13" i="16" s="1"/>
  <c r="C18" i="16" s="1"/>
  <c r="E55" i="12"/>
  <c r="F55" i="12"/>
  <c r="G55" i="12"/>
  <c r="H55" i="12"/>
  <c r="I55" i="12"/>
  <c r="J55" i="12"/>
  <c r="K55" i="12"/>
  <c r="L55" i="12"/>
  <c r="M55" i="12"/>
  <c r="F58" i="12"/>
  <c r="G58" i="12"/>
  <c r="H58" i="12"/>
  <c r="I58" i="12"/>
  <c r="J58" i="12"/>
  <c r="L58" i="12"/>
  <c r="K58" i="12"/>
  <c r="M58" i="12"/>
  <c r="N58" i="12"/>
  <c r="O58" i="12"/>
  <c r="E57" i="12"/>
  <c r="F57" i="12"/>
  <c r="G57" i="12"/>
  <c r="H57" i="12"/>
  <c r="I57" i="12"/>
  <c r="J57" i="12"/>
  <c r="K57" i="12"/>
  <c r="L57" i="12"/>
  <c r="M57" i="12"/>
  <c r="N57" i="12"/>
  <c r="F49" i="16"/>
  <c r="H90" i="61"/>
  <c r="Q14" i="63"/>
  <c r="Q16" i="63" s="1"/>
  <c r="Q10" i="63"/>
  <c r="R12" i="63" s="1"/>
  <c r="N9" i="64"/>
  <c r="E31" i="18"/>
  <c r="O24" i="62"/>
  <c r="H29" i="14"/>
  <c r="K16" i="21"/>
  <c r="Q16" i="21" s="1"/>
  <c r="F14" i="6" s="1"/>
  <c r="E16" i="21"/>
  <c r="J20" i="55"/>
  <c r="P32" i="55" s="1"/>
  <c r="J16" i="54"/>
  <c r="G40" i="16"/>
  <c r="D16" i="35"/>
  <c r="I16" i="35"/>
  <c r="C23" i="23"/>
  <c r="J23" i="23" s="1"/>
  <c r="E23" i="23"/>
  <c r="D23" i="23"/>
  <c r="K23" i="23" s="1"/>
  <c r="B23" i="23"/>
  <c r="I23" i="23" s="1"/>
  <c r="S6" i="23"/>
  <c r="K22" i="23"/>
  <c r="F22" i="23"/>
  <c r="I16" i="34"/>
  <c r="O28" i="34" s="1"/>
  <c r="D16" i="34"/>
  <c r="B17" i="37"/>
  <c r="C16" i="37"/>
  <c r="J16" i="37" s="1"/>
  <c r="K24" i="56"/>
  <c r="E16" i="56"/>
  <c r="C24" i="24"/>
  <c r="J24" i="24" s="1"/>
  <c r="B24" i="24"/>
  <c r="I24" i="24" s="1"/>
  <c r="D24" i="24"/>
  <c r="K24" i="24" s="1"/>
  <c r="E24" i="24"/>
  <c r="D17" i="55"/>
  <c r="K22" i="55" s="1"/>
  <c r="Q34" i="55" s="1"/>
  <c r="Q4" i="55" s="1"/>
  <c r="I27" i="55"/>
  <c r="O39" i="55" s="1"/>
  <c r="B24" i="22"/>
  <c r="I24" i="22" s="1"/>
  <c r="D24" i="22"/>
  <c r="K24" i="22" s="1"/>
  <c r="E24" i="22"/>
  <c r="C24" i="22"/>
  <c r="J24" i="22" s="1"/>
  <c r="F52" i="62"/>
  <c r="F30" i="62"/>
  <c r="N21" i="14"/>
  <c r="N29" i="16" s="1"/>
  <c r="O21" i="62"/>
  <c r="W21" i="62"/>
  <c r="N12" i="62"/>
  <c r="N21" i="62"/>
  <c r="L29" i="16"/>
  <c r="X10" i="62"/>
  <c r="E120" i="12"/>
  <c r="P41" i="61"/>
  <c r="H91" i="61" s="1"/>
  <c r="H92" i="61" s="1"/>
  <c r="W12" i="62"/>
  <c r="Y8" i="62"/>
  <c r="Y7" i="62"/>
  <c r="O12" i="62"/>
  <c r="P10" i="62"/>
  <c r="E23" i="18"/>
  <c r="E9" i="18"/>
  <c r="E24" i="18"/>
  <c r="E22" i="18"/>
  <c r="E20" i="18"/>
  <c r="E42" i="18"/>
  <c r="E15" i="18"/>
  <c r="E30" i="18"/>
  <c r="E19" i="18"/>
  <c r="E36" i="18"/>
  <c r="E13" i="18"/>
  <c r="E34" i="18"/>
  <c r="E29" i="18"/>
  <c r="E14" i="18"/>
  <c r="E8" i="18"/>
  <c r="R10" i="63" s="1"/>
  <c r="E10" i="18"/>
  <c r="E27" i="18"/>
  <c r="E16" i="18"/>
  <c r="E11" i="18"/>
  <c r="E43" i="18"/>
  <c r="E12" i="18"/>
  <c r="E32" i="18"/>
  <c r="E28" i="18"/>
  <c r="E26" i="18"/>
  <c r="E21" i="18"/>
  <c r="AE14" i="61"/>
  <c r="AC22" i="12"/>
  <c r="AC13" i="61"/>
  <c r="AA20" i="12"/>
  <c r="E121" i="12"/>
  <c r="E119" i="12"/>
  <c r="AC12" i="61"/>
  <c r="AA18" i="12"/>
  <c r="AB17" i="12"/>
  <c r="E118" i="12"/>
  <c r="H125" i="12"/>
  <c r="I125" i="12" s="1"/>
  <c r="E123" i="12"/>
  <c r="E116" i="12"/>
  <c r="E122" i="12"/>
  <c r="R25" i="12"/>
  <c r="M12" i="14"/>
  <c r="O12" i="14" s="1"/>
  <c r="D17" i="18" s="1"/>
  <c r="E17" i="18" s="1"/>
  <c r="AB16" i="61"/>
  <c r="D47" i="18"/>
  <c r="M21" i="14"/>
  <c r="AC15" i="61"/>
  <c r="AB23" i="12"/>
  <c r="AB24" i="12" s="1"/>
  <c r="AB17" i="61"/>
  <c r="AC11" i="61"/>
  <c r="AC10" i="61"/>
  <c r="AC8" i="61"/>
  <c r="AB10" i="12"/>
  <c r="AE9" i="61"/>
  <c r="Z25" i="12"/>
  <c r="Z27" i="12"/>
  <c r="B18" i="32"/>
  <c r="C17" i="32"/>
  <c r="J17" i="32" s="1"/>
  <c r="I24" i="18"/>
  <c r="J24" i="18"/>
  <c r="M24" i="18" s="1"/>
  <c r="P24" i="18" s="1"/>
  <c r="AC25" i="14"/>
  <c r="AB33" i="16"/>
  <c r="AD31" i="16"/>
  <c r="AE23" i="14"/>
  <c r="AE31" i="16" s="1"/>
  <c r="AB26" i="14"/>
  <c r="AA34" i="16"/>
  <c r="AC32" i="16"/>
  <c r="AD24" i="14"/>
  <c r="AB71" i="61"/>
  <c r="Z69" i="61"/>
  <c r="O66" i="61"/>
  <c r="AD73" i="61"/>
  <c r="Y67" i="61"/>
  <c r="AC72" i="61"/>
  <c r="AE74" i="61"/>
  <c r="D17" i="54"/>
  <c r="K17" i="54" s="1"/>
  <c r="B17" i="53"/>
  <c r="I17" i="53" s="1"/>
  <c r="O17" i="53" s="1"/>
  <c r="C16" i="53"/>
  <c r="I17" i="48"/>
  <c r="O17" i="48" s="1"/>
  <c r="D14" i="9" s="1"/>
  <c r="D17" i="48"/>
  <c r="C24" i="8"/>
  <c r="J24" i="8" s="1"/>
  <c r="D24" i="8"/>
  <c r="K24" i="8" s="1"/>
  <c r="E24" i="8"/>
  <c r="B24" i="8"/>
  <c r="I24" i="8" s="1"/>
  <c r="AB19" i="12"/>
  <c r="Z41" i="61"/>
  <c r="U12" i="14" s="1"/>
  <c r="U13" i="14" s="1"/>
  <c r="Y69" i="61"/>
  <c r="AD74" i="61"/>
  <c r="Y68" i="61"/>
  <c r="AC73" i="61"/>
  <c r="AB72" i="61"/>
  <c r="Z70" i="61"/>
  <c r="AA71" i="61"/>
  <c r="N66" i="61"/>
  <c r="O67" i="61"/>
  <c r="T21" i="14"/>
  <c r="Z72" i="61"/>
  <c r="O70" i="61"/>
  <c r="N69" i="61"/>
  <c r="AB74" i="61"/>
  <c r="L66" i="61"/>
  <c r="AA73" i="61"/>
  <c r="N68" i="61"/>
  <c r="Y71" i="61"/>
  <c r="M67" i="61"/>
  <c r="Z74" i="61"/>
  <c r="L69" i="61"/>
  <c r="J66" i="61"/>
  <c r="N71" i="61"/>
  <c r="O72" i="61"/>
  <c r="L68" i="61"/>
  <c r="K67" i="61"/>
  <c r="Y73" i="61"/>
  <c r="M70" i="61"/>
  <c r="AC74" i="61"/>
  <c r="M66" i="61"/>
  <c r="Z71" i="61"/>
  <c r="N67" i="61"/>
  <c r="O68" i="61"/>
  <c r="Y70" i="61"/>
  <c r="AB73" i="61"/>
  <c r="O69" i="61"/>
  <c r="AA72" i="61"/>
  <c r="Z49" i="61"/>
  <c r="AA68" i="61" s="1"/>
  <c r="I70" i="61"/>
  <c r="L73" i="61"/>
  <c r="M74" i="61"/>
  <c r="J71" i="61"/>
  <c r="H68" i="61"/>
  <c r="G67" i="61"/>
  <c r="H69" i="61"/>
  <c r="K72" i="61"/>
  <c r="F66" i="61"/>
  <c r="M69" i="61"/>
  <c r="Z73" i="61"/>
  <c r="M68" i="61"/>
  <c r="Y72" i="61"/>
  <c r="AA74" i="61"/>
  <c r="L67" i="61"/>
  <c r="O71" i="61"/>
  <c r="K66" i="61"/>
  <c r="N70" i="61"/>
  <c r="L74" i="61"/>
  <c r="H70" i="61"/>
  <c r="J72" i="61"/>
  <c r="I71" i="61"/>
  <c r="E66" i="61"/>
  <c r="G68" i="61"/>
  <c r="K73" i="61"/>
  <c r="G69" i="61"/>
  <c r="F67" i="61"/>
  <c r="J67" i="61"/>
  <c r="O73" i="61"/>
  <c r="Y74" i="61"/>
  <c r="I66" i="61"/>
  <c r="K69" i="61"/>
  <c r="M71" i="61"/>
  <c r="N72" i="61"/>
  <c r="K68" i="61"/>
  <c r="L70" i="61"/>
  <c r="AB14" i="12"/>
  <c r="AB16" i="12"/>
  <c r="Y37" i="12"/>
  <c r="AA36" i="61"/>
  <c r="AA37" i="61" s="1"/>
  <c r="AA38" i="61" s="1"/>
  <c r="AA49" i="61" s="1"/>
  <c r="V10" i="14"/>
  <c r="I69" i="61"/>
  <c r="L72" i="61"/>
  <c r="N74" i="61"/>
  <c r="M73" i="61"/>
  <c r="G66" i="61"/>
  <c r="H67" i="61"/>
  <c r="J70" i="61"/>
  <c r="I68" i="61"/>
  <c r="K71" i="61"/>
  <c r="M72" i="61"/>
  <c r="N73" i="61"/>
  <c r="J68" i="61"/>
  <c r="L71" i="61"/>
  <c r="K70" i="61"/>
  <c r="O74" i="61"/>
  <c r="H66" i="61"/>
  <c r="J69" i="61"/>
  <c r="I67" i="61"/>
  <c r="D49" i="61"/>
  <c r="P26" i="61"/>
  <c r="D16" i="19" s="1"/>
  <c r="R27" i="61" s="1"/>
  <c r="AE63" i="12"/>
  <c r="AF64" i="12"/>
  <c r="AB60" i="12"/>
  <c r="Y56" i="12"/>
  <c r="AD62" i="12"/>
  <c r="AC61" i="12"/>
  <c r="AA59" i="12"/>
  <c r="D16" i="36"/>
  <c r="I16" i="36"/>
  <c r="B26" i="7"/>
  <c r="E26" i="7"/>
  <c r="D26" i="7"/>
  <c r="C26" i="7"/>
  <c r="J26" i="7" s="1"/>
  <c r="AD21" i="12"/>
  <c r="T13" i="14"/>
  <c r="I25" i="7"/>
  <c r="K17" i="33"/>
  <c r="Q17" i="33" s="1"/>
  <c r="E17" i="33"/>
  <c r="AB70" i="61"/>
  <c r="AA69" i="61"/>
  <c r="AD72" i="61"/>
  <c r="AC71" i="61"/>
  <c r="AF74" i="61"/>
  <c r="AE73" i="61"/>
  <c r="Z68" i="61"/>
  <c r="AD12" i="12"/>
  <c r="K25" i="7"/>
  <c r="N65" i="12" l="1"/>
  <c r="M13" i="16" s="1"/>
  <c r="M18" i="16" s="1"/>
  <c r="P57" i="12"/>
  <c r="P58" i="12"/>
  <c r="K65" i="12"/>
  <c r="J13" i="16" s="1"/>
  <c r="J18" i="16" s="1"/>
  <c r="J65" i="12"/>
  <c r="I13" i="16" s="1"/>
  <c r="I18" i="16" s="1"/>
  <c r="F65" i="12"/>
  <c r="E13" i="16" s="1"/>
  <c r="E18" i="16" s="1"/>
  <c r="E80" i="12"/>
  <c r="D81" i="12"/>
  <c r="C35" i="14" s="1"/>
  <c r="M65" i="12"/>
  <c r="L13" i="16" s="1"/>
  <c r="L18" i="16" s="1"/>
  <c r="I65" i="12"/>
  <c r="H13" i="16" s="1"/>
  <c r="H18" i="16" s="1"/>
  <c r="E65" i="12"/>
  <c r="D13" i="16" s="1"/>
  <c r="D18" i="16" s="1"/>
  <c r="G65" i="12"/>
  <c r="F13" i="16" s="1"/>
  <c r="F18" i="16" s="1"/>
  <c r="O65" i="12"/>
  <c r="N13" i="16" s="1"/>
  <c r="N18" i="16" s="1"/>
  <c r="P55" i="12"/>
  <c r="L65" i="12"/>
  <c r="K13" i="16" s="1"/>
  <c r="K18" i="16" s="1"/>
  <c r="H65" i="12"/>
  <c r="G13" i="16" s="1"/>
  <c r="G18" i="16" s="1"/>
  <c r="R14" i="63"/>
  <c r="R28" i="63"/>
  <c r="R20" i="63"/>
  <c r="R16" i="63"/>
  <c r="Q18" i="63"/>
  <c r="R18" i="63" s="1"/>
  <c r="R36" i="63"/>
  <c r="X24" i="62"/>
  <c r="L52" i="14"/>
  <c r="E28" i="62"/>
  <c r="B17" i="21"/>
  <c r="I17" i="21" s="1"/>
  <c r="O17" i="21" s="1"/>
  <c r="D15" i="6" s="1"/>
  <c r="H41" i="16"/>
  <c r="H37" i="16"/>
  <c r="H47" i="16" s="1"/>
  <c r="I49" i="16" s="1"/>
  <c r="H33" i="14"/>
  <c r="H34" i="14" s="1"/>
  <c r="H31" i="14"/>
  <c r="R4" i="55"/>
  <c r="R17" i="33"/>
  <c r="D14" i="52"/>
  <c r="J16" i="53"/>
  <c r="P16" i="53" s="1"/>
  <c r="K16" i="35"/>
  <c r="E16" i="35"/>
  <c r="E24" i="23"/>
  <c r="C24" i="23"/>
  <c r="J24" i="23" s="1"/>
  <c r="D24" i="23"/>
  <c r="K24" i="23" s="1"/>
  <c r="B24" i="23"/>
  <c r="I24" i="23" s="1"/>
  <c r="K16" i="34"/>
  <c r="Q28" i="34" s="1"/>
  <c r="E16" i="34"/>
  <c r="I17" i="37"/>
  <c r="D17" i="37"/>
  <c r="B17" i="56"/>
  <c r="C16" i="56"/>
  <c r="J24" i="56" s="1"/>
  <c r="E25" i="24"/>
  <c r="D25" i="24"/>
  <c r="K25" i="24" s="1"/>
  <c r="C25" i="24"/>
  <c r="J25" i="24" s="1"/>
  <c r="B25" i="24"/>
  <c r="I25" i="24" s="1"/>
  <c r="C25" i="22"/>
  <c r="J25" i="22" s="1"/>
  <c r="E25" i="22"/>
  <c r="B25" i="22"/>
  <c r="I25" i="22" s="1"/>
  <c r="D25" i="22"/>
  <c r="K25" i="22" s="1"/>
  <c r="K27" i="55"/>
  <c r="Q39" i="55" s="1"/>
  <c r="E17" i="55"/>
  <c r="AF23" i="14"/>
  <c r="G27" i="18" s="1"/>
  <c r="I27" i="18" s="1"/>
  <c r="P12" i="62"/>
  <c r="X21" i="62"/>
  <c r="X12" i="62"/>
  <c r="E125" i="12"/>
  <c r="Y10" i="62"/>
  <c r="Z8" i="62"/>
  <c r="Z7" i="62"/>
  <c r="J116" i="12"/>
  <c r="J119" i="12"/>
  <c r="J123" i="12"/>
  <c r="J120" i="12"/>
  <c r="J121" i="12"/>
  <c r="J118" i="12"/>
  <c r="J122" i="12"/>
  <c r="J117" i="12"/>
  <c r="M13" i="14"/>
  <c r="AF14" i="61"/>
  <c r="AD22" i="12"/>
  <c r="AD13" i="61"/>
  <c r="AB20" i="12"/>
  <c r="AD12" i="61"/>
  <c r="AB18" i="12"/>
  <c r="AC17" i="12"/>
  <c r="O21" i="14"/>
  <c r="K73" i="14" s="1"/>
  <c r="K75" i="14" s="1"/>
  <c r="N11" i="14" s="1"/>
  <c r="O11" i="14" s="1"/>
  <c r="M29" i="16"/>
  <c r="AD15" i="61"/>
  <c r="AC23" i="12"/>
  <c r="AC24" i="12" s="1"/>
  <c r="AD11" i="61"/>
  <c r="AC16" i="61"/>
  <c r="AC25" i="61" s="1"/>
  <c r="AC26" i="61" s="1"/>
  <c r="AD10" i="61"/>
  <c r="AC17" i="61"/>
  <c r="AF9" i="61"/>
  <c r="AD8" i="61"/>
  <c r="AC10" i="12"/>
  <c r="AA27" i="12"/>
  <c r="AA25" i="12"/>
  <c r="AF31" i="16"/>
  <c r="D18" i="32"/>
  <c r="I18" i="32"/>
  <c r="AD32" i="16"/>
  <c r="AE24" i="14"/>
  <c r="AC26" i="14"/>
  <c r="AB34" i="16"/>
  <c r="AC33" i="16"/>
  <c r="AD25" i="14"/>
  <c r="E25" i="8"/>
  <c r="D25" i="8"/>
  <c r="K25" i="8" s="1"/>
  <c r="B25" i="8"/>
  <c r="I25" i="8" s="1"/>
  <c r="C25" i="8"/>
  <c r="J25" i="8" s="1"/>
  <c r="K17" i="48"/>
  <c r="Q17" i="48" s="1"/>
  <c r="E17" i="48"/>
  <c r="D17" i="53"/>
  <c r="K17" i="53" s="1"/>
  <c r="Q17" i="53" s="1"/>
  <c r="E17" i="54"/>
  <c r="AC19" i="12"/>
  <c r="AB68" i="61"/>
  <c r="AG73" i="61"/>
  <c r="AH74" i="61"/>
  <c r="AD70" i="61"/>
  <c r="AE71" i="61"/>
  <c r="AF72" i="61"/>
  <c r="AC69" i="61"/>
  <c r="AC14" i="12"/>
  <c r="T29" i="16"/>
  <c r="AE62" i="12"/>
  <c r="AF63" i="12"/>
  <c r="AB59" i="12"/>
  <c r="AD61" i="12"/>
  <c r="AC60" i="12"/>
  <c r="Z56" i="12"/>
  <c r="AG64" i="12"/>
  <c r="L75" i="61"/>
  <c r="K19" i="16" s="1"/>
  <c r="N75" i="61"/>
  <c r="M19" i="16" s="1"/>
  <c r="G70" i="61"/>
  <c r="P70" i="61" s="1"/>
  <c r="I72" i="61"/>
  <c r="P72" i="61" s="1"/>
  <c r="H71" i="61"/>
  <c r="P71" i="61" s="1"/>
  <c r="D66" i="61"/>
  <c r="F69" i="61"/>
  <c r="P69" i="61" s="1"/>
  <c r="K74" i="61"/>
  <c r="P74" i="61" s="1"/>
  <c r="E67" i="61"/>
  <c r="E68" i="61"/>
  <c r="P49" i="61"/>
  <c r="F68" i="61"/>
  <c r="J73" i="61"/>
  <c r="P73" i="61" s="1"/>
  <c r="AC16" i="12"/>
  <c r="AA41" i="61"/>
  <c r="V12" i="14" s="1"/>
  <c r="V13" i="14" s="1"/>
  <c r="M75" i="61"/>
  <c r="L19" i="16" s="1"/>
  <c r="AB36" i="61"/>
  <c r="AB37" i="61" s="1"/>
  <c r="AB38" i="61" s="1"/>
  <c r="Z37" i="12"/>
  <c r="W10" i="14"/>
  <c r="Q26" i="61"/>
  <c r="E114" i="4"/>
  <c r="O75" i="61"/>
  <c r="N19" i="16" s="1"/>
  <c r="U21" i="14"/>
  <c r="AC70" i="61"/>
  <c r="AF73" i="61"/>
  <c r="AB69" i="61"/>
  <c r="AD71" i="61"/>
  <c r="AE72" i="61"/>
  <c r="AG74" i="61"/>
  <c r="K26" i="7"/>
  <c r="C27" i="7"/>
  <c r="J27" i="7" s="1"/>
  <c r="E27" i="7"/>
  <c r="D27" i="7"/>
  <c r="B27" i="7"/>
  <c r="B18" i="33"/>
  <c r="C17" i="33"/>
  <c r="J17" i="33" s="1"/>
  <c r="P17" i="33" s="1"/>
  <c r="AE12" i="12"/>
  <c r="AE21" i="12"/>
  <c r="I26" i="7"/>
  <c r="K16" i="36"/>
  <c r="E16" i="36"/>
  <c r="P65" i="12" l="1"/>
  <c r="Q66" i="12" s="1"/>
  <c r="R28" i="34"/>
  <c r="C36" i="14"/>
  <c r="C37" i="14" s="1"/>
  <c r="C40" i="14" s="1"/>
  <c r="C41" i="14" s="1"/>
  <c r="C39" i="16"/>
  <c r="F80" i="12"/>
  <c r="E81" i="12"/>
  <c r="D35" i="14" s="1"/>
  <c r="O13" i="16"/>
  <c r="O18" i="16"/>
  <c r="Y24" i="62"/>
  <c r="D17" i="21"/>
  <c r="E17" i="21" s="1"/>
  <c r="B18" i="21" s="1"/>
  <c r="I18" i="21" s="1"/>
  <c r="O18" i="21" s="1"/>
  <c r="D16" i="6" s="1"/>
  <c r="J29" i="14" s="1"/>
  <c r="I29" i="14"/>
  <c r="E13" i="52"/>
  <c r="F14" i="52"/>
  <c r="F14" i="9"/>
  <c r="R17" i="48"/>
  <c r="B17" i="35"/>
  <c r="C16" i="35"/>
  <c r="J16" i="35" s="1"/>
  <c r="C25" i="23"/>
  <c r="J25" i="23" s="1"/>
  <c r="B25" i="23"/>
  <c r="I25" i="23" s="1"/>
  <c r="E25" i="23"/>
  <c r="D25" i="23"/>
  <c r="K25" i="23" s="1"/>
  <c r="C16" i="34"/>
  <c r="J16" i="34" s="1"/>
  <c r="P28" i="34" s="1"/>
  <c r="B17" i="34"/>
  <c r="K17" i="37"/>
  <c r="E17" i="37"/>
  <c r="I27" i="56"/>
  <c r="D17" i="56"/>
  <c r="B18" i="55"/>
  <c r="I24" i="55" s="1"/>
  <c r="O36" i="55" s="1"/>
  <c r="C17" i="55"/>
  <c r="D26" i="22"/>
  <c r="K26" i="22" s="1"/>
  <c r="E26" i="22"/>
  <c r="B26" i="22"/>
  <c r="I26" i="22" s="1"/>
  <c r="C26" i="22"/>
  <c r="J26" i="22" s="1"/>
  <c r="D26" i="24"/>
  <c r="K26" i="24" s="1"/>
  <c r="C26" i="24"/>
  <c r="J26" i="24" s="1"/>
  <c r="B26" i="24"/>
  <c r="I26" i="24" s="1"/>
  <c r="E26" i="24"/>
  <c r="J27" i="18"/>
  <c r="M27" i="18" s="1"/>
  <c r="P27" i="18" s="1"/>
  <c r="M57" i="62"/>
  <c r="Y21" i="62"/>
  <c r="N13" i="14"/>
  <c r="J125" i="12"/>
  <c r="AA8" i="62"/>
  <c r="AA7" i="62"/>
  <c r="Y12" i="62"/>
  <c r="Z10" i="62"/>
  <c r="Z24" i="62" s="1"/>
  <c r="AG14" i="61"/>
  <c r="AE22" i="12"/>
  <c r="AE13" i="61"/>
  <c r="AC20" i="12"/>
  <c r="D25" i="18"/>
  <c r="Q47" i="63" s="1"/>
  <c r="R47" i="63" s="1"/>
  <c r="AE12" i="61"/>
  <c r="AC18" i="12"/>
  <c r="AD17" i="12"/>
  <c r="K79" i="14"/>
  <c r="O29" i="16"/>
  <c r="AD17" i="61"/>
  <c r="AE15" i="61"/>
  <c r="AD23" i="12"/>
  <c r="AD24" i="12" s="1"/>
  <c r="AD16" i="61"/>
  <c r="AD25" i="61" s="1"/>
  <c r="AE11" i="61"/>
  <c r="AE10" i="61"/>
  <c r="AG9" i="61"/>
  <c r="AE8" i="61"/>
  <c r="AD10" i="12"/>
  <c r="AB27" i="12"/>
  <c r="AB25" i="12"/>
  <c r="K18" i="32"/>
  <c r="E18" i="32"/>
  <c r="AC34" i="16"/>
  <c r="AD26" i="14"/>
  <c r="AE25" i="14"/>
  <c r="AD33" i="16"/>
  <c r="AE32" i="16"/>
  <c r="AF32" i="16" s="1"/>
  <c r="AF24" i="14"/>
  <c r="G28" i="18" s="1"/>
  <c r="K75" i="61"/>
  <c r="J19" i="16" s="1"/>
  <c r="P68" i="61"/>
  <c r="F75" i="61"/>
  <c r="E19" i="16" s="1"/>
  <c r="E17" i="53"/>
  <c r="C17" i="54"/>
  <c r="B18" i="54"/>
  <c r="I18" i="54" s="1"/>
  <c r="B18" i="48"/>
  <c r="C17" i="48"/>
  <c r="J17" i="48" s="1"/>
  <c r="P17" i="48" s="1"/>
  <c r="E14" i="9" s="1"/>
  <c r="D26" i="8"/>
  <c r="K26" i="8" s="1"/>
  <c r="B26" i="8"/>
  <c r="I26" i="8" s="1"/>
  <c r="C26" i="8"/>
  <c r="J26" i="8" s="1"/>
  <c r="E26" i="8"/>
  <c r="AD19" i="12"/>
  <c r="U29" i="16"/>
  <c r="P66" i="61"/>
  <c r="D75" i="61"/>
  <c r="C19" i="16" s="1"/>
  <c r="P67" i="61"/>
  <c r="E75" i="61"/>
  <c r="D19" i="16" s="1"/>
  <c r="V21" i="14"/>
  <c r="AB25" i="61"/>
  <c r="AB26" i="61" s="1"/>
  <c r="AB49" i="61" s="1"/>
  <c r="AB41" i="61"/>
  <c r="AA37" i="12"/>
  <c r="AC36" i="61"/>
  <c r="AC37" i="61" s="1"/>
  <c r="AC38" i="61" s="1"/>
  <c r="X10" i="14"/>
  <c r="AC59" i="12"/>
  <c r="AG63" i="12"/>
  <c r="AA56" i="12"/>
  <c r="AD60" i="12"/>
  <c r="AH64" i="12"/>
  <c r="AI64" i="12" s="1"/>
  <c r="AF62" i="12"/>
  <c r="AE61" i="12"/>
  <c r="J75" i="61"/>
  <c r="I19" i="16" s="1"/>
  <c r="I75" i="61"/>
  <c r="H19" i="16" s="1"/>
  <c r="AD16" i="12"/>
  <c r="H75" i="61"/>
  <c r="G19" i="16" s="1"/>
  <c r="AD14" i="12"/>
  <c r="G75" i="61"/>
  <c r="F19" i="16" s="1"/>
  <c r="B17" i="36"/>
  <c r="C16" i="36"/>
  <c r="J16" i="36" s="1"/>
  <c r="D18" i="33"/>
  <c r="I18" i="33"/>
  <c r="O18" i="33" s="1"/>
  <c r="I27" i="7"/>
  <c r="AF21" i="12"/>
  <c r="AF12" i="12"/>
  <c r="K27" i="7"/>
  <c r="D28" i="7"/>
  <c r="E28" i="7"/>
  <c r="B28" i="7"/>
  <c r="C28" i="7"/>
  <c r="J28" i="7" s="1"/>
  <c r="D36" i="14" l="1"/>
  <c r="D37" i="14" s="1"/>
  <c r="D40" i="14" s="1"/>
  <c r="D41" i="14" s="1"/>
  <c r="D39" i="16"/>
  <c r="D48" i="16" s="1"/>
  <c r="D51" i="16" s="1"/>
  <c r="G80" i="12"/>
  <c r="F81" i="12"/>
  <c r="E35" i="14" s="1"/>
  <c r="K17" i="21"/>
  <c r="Q17" i="21" s="1"/>
  <c r="F15" i="6" s="1"/>
  <c r="I41" i="16" s="1"/>
  <c r="C17" i="21"/>
  <c r="J17" i="21" s="1"/>
  <c r="P17" i="21" s="1"/>
  <c r="E15" i="6" s="1"/>
  <c r="J37" i="16"/>
  <c r="J47" i="16" s="1"/>
  <c r="J31" i="14"/>
  <c r="J33" i="14"/>
  <c r="J34" i="14" s="1"/>
  <c r="I37" i="16"/>
  <c r="I47" i="16" s="1"/>
  <c r="I31" i="14"/>
  <c r="I33" i="14"/>
  <c r="D18" i="21"/>
  <c r="J27" i="55"/>
  <c r="P39" i="55" s="1"/>
  <c r="J22" i="55"/>
  <c r="P34" i="55" s="1"/>
  <c r="P4" i="55" s="1"/>
  <c r="J17" i="54"/>
  <c r="H40" i="16"/>
  <c r="D17" i="35"/>
  <c r="I17" i="35"/>
  <c r="C26" i="23"/>
  <c r="J26" i="23" s="1"/>
  <c r="D26" i="23"/>
  <c r="K26" i="23" s="1"/>
  <c r="B26" i="23"/>
  <c r="I26" i="23" s="1"/>
  <c r="E26" i="23"/>
  <c r="D17" i="34"/>
  <c r="I17" i="34"/>
  <c r="O29" i="34" s="1"/>
  <c r="B18" i="37"/>
  <c r="C17" i="37"/>
  <c r="J17" i="37" s="1"/>
  <c r="K27" i="56"/>
  <c r="E17" i="56"/>
  <c r="D27" i="24"/>
  <c r="K27" i="24" s="1"/>
  <c r="C27" i="24"/>
  <c r="J27" i="24" s="1"/>
  <c r="E27" i="24"/>
  <c r="B27" i="24"/>
  <c r="I27" i="24" s="1"/>
  <c r="E27" i="22"/>
  <c r="C27" i="22"/>
  <c r="J27" i="22" s="1"/>
  <c r="B27" i="22"/>
  <c r="I27" i="22" s="1"/>
  <c r="D27" i="22"/>
  <c r="K27" i="22" s="1"/>
  <c r="D18" i="55"/>
  <c r="K24" i="55" s="1"/>
  <c r="Q36" i="55" s="1"/>
  <c r="F31" i="62"/>
  <c r="E42" i="62"/>
  <c r="Z21" i="62"/>
  <c r="O13" i="14"/>
  <c r="Z12" i="62"/>
  <c r="P54" i="62"/>
  <c r="AA10" i="62"/>
  <c r="AB8" i="62"/>
  <c r="AB7" i="62"/>
  <c r="AH14" i="61"/>
  <c r="AF22" i="12"/>
  <c r="AF13" i="61"/>
  <c r="AD20" i="12"/>
  <c r="E25" i="18"/>
  <c r="AF12" i="61"/>
  <c r="AD18" i="12"/>
  <c r="AE17" i="12"/>
  <c r="AE17" i="61"/>
  <c r="AE16" i="61"/>
  <c r="AF15" i="61"/>
  <c r="AE23" i="12"/>
  <c r="AE24" i="12" s="1"/>
  <c r="AF11" i="61"/>
  <c r="AF10" i="61"/>
  <c r="AE10" i="12"/>
  <c r="AF8" i="61"/>
  <c r="AH9" i="61"/>
  <c r="AC27" i="12"/>
  <c r="AC25" i="12"/>
  <c r="B19" i="32"/>
  <c r="C18" i="32"/>
  <c r="J18" i="32" s="1"/>
  <c r="AF25" i="14"/>
  <c r="AE33" i="16"/>
  <c r="AF33" i="16" s="1"/>
  <c r="I28" i="18"/>
  <c r="J28" i="18"/>
  <c r="M28" i="18" s="1"/>
  <c r="P28" i="18" s="1"/>
  <c r="AD34" i="16"/>
  <c r="AE26" i="14"/>
  <c r="D18" i="54"/>
  <c r="K18" i="54" s="1"/>
  <c r="E27" i="8"/>
  <c r="D27" i="8"/>
  <c r="K27" i="8" s="1"/>
  <c r="B27" i="8"/>
  <c r="I27" i="8" s="1"/>
  <c r="C27" i="8"/>
  <c r="J27" i="8" s="1"/>
  <c r="B18" i="53"/>
  <c r="I18" i="53" s="1"/>
  <c r="O18" i="53" s="1"/>
  <c r="C17" i="53"/>
  <c r="I18" i="48"/>
  <c r="O18" i="48" s="1"/>
  <c r="D15" i="9" s="1"/>
  <c r="D18" i="48"/>
  <c r="AE19" i="12"/>
  <c r="AD26" i="61"/>
  <c r="C48" i="16"/>
  <c r="O19" i="16"/>
  <c r="AC41" i="61"/>
  <c r="X12" i="14" s="1"/>
  <c r="AE60" i="12"/>
  <c r="AD59" i="12"/>
  <c r="AH63" i="12"/>
  <c r="AI63" i="12" s="1"/>
  <c r="AF61" i="12"/>
  <c r="AB56" i="12"/>
  <c r="AG62" i="12"/>
  <c r="P75" i="61"/>
  <c r="Q76" i="61" s="1"/>
  <c r="D35" i="19" s="1"/>
  <c r="AE14" i="12"/>
  <c r="AE16" i="12"/>
  <c r="AD36" i="61"/>
  <c r="AD37" i="61" s="1"/>
  <c r="AD38" i="61" s="1"/>
  <c r="Y10" i="14"/>
  <c r="AB37" i="12"/>
  <c r="AE70" i="61"/>
  <c r="AI74" i="61"/>
  <c r="AC68" i="61"/>
  <c r="AG72" i="61"/>
  <c r="AH73" i="61"/>
  <c r="AF71" i="61"/>
  <c r="AD69" i="61"/>
  <c r="W21" i="14"/>
  <c r="W12" i="14"/>
  <c r="W13" i="14" s="1"/>
  <c r="V29" i="16"/>
  <c r="I28" i="7"/>
  <c r="E29" i="7"/>
  <c r="B29" i="7"/>
  <c r="C29" i="7"/>
  <c r="J29" i="7" s="1"/>
  <c r="D29" i="7"/>
  <c r="K28" i="7"/>
  <c r="AG21" i="12"/>
  <c r="D17" i="36"/>
  <c r="I17" i="36"/>
  <c r="AG12" i="12"/>
  <c r="K18" i="33"/>
  <c r="Q18" i="33" s="1"/>
  <c r="E18" i="33"/>
  <c r="AC49" i="61"/>
  <c r="E39" i="16" l="1"/>
  <c r="E48" i="16" s="1"/>
  <c r="E51" i="16" s="1"/>
  <c r="E36" i="14"/>
  <c r="E37" i="14" s="1"/>
  <c r="E40" i="14" s="1"/>
  <c r="E41" i="14" s="1"/>
  <c r="H80" i="12"/>
  <c r="G81" i="12"/>
  <c r="F35" i="14" s="1"/>
  <c r="AA21" i="62"/>
  <c r="AA24" i="62"/>
  <c r="K18" i="21"/>
  <c r="Q18" i="21" s="1"/>
  <c r="F16" i="6" s="1"/>
  <c r="J41" i="16" s="1"/>
  <c r="E18" i="21"/>
  <c r="I34" i="14"/>
  <c r="C18" i="21"/>
  <c r="J18" i="21" s="1"/>
  <c r="P18" i="21" s="1"/>
  <c r="E16" i="6" s="1"/>
  <c r="R18" i="33"/>
  <c r="J17" i="53"/>
  <c r="P17" i="53" s="1"/>
  <c r="D15" i="52"/>
  <c r="K17" i="35"/>
  <c r="E17" i="35"/>
  <c r="B27" i="23"/>
  <c r="I27" i="23" s="1"/>
  <c r="D27" i="23"/>
  <c r="K27" i="23" s="1"/>
  <c r="C27" i="23"/>
  <c r="J27" i="23" s="1"/>
  <c r="E27" i="23"/>
  <c r="K17" i="34"/>
  <c r="Q29" i="34" s="1"/>
  <c r="R29" i="34" s="1"/>
  <c r="E17" i="34"/>
  <c r="I18" i="37"/>
  <c r="D18" i="37"/>
  <c r="B18" i="56"/>
  <c r="C17" i="56"/>
  <c r="J27" i="56" s="1"/>
  <c r="B28" i="24"/>
  <c r="I28" i="24" s="1"/>
  <c r="E28" i="24"/>
  <c r="D28" i="24"/>
  <c r="K28" i="24" s="1"/>
  <c r="C28" i="24"/>
  <c r="J28" i="24" s="1"/>
  <c r="E18" i="55"/>
  <c r="C28" i="22"/>
  <c r="J28" i="22" s="1"/>
  <c r="E28" i="22"/>
  <c r="D28" i="22"/>
  <c r="K28" i="22" s="1"/>
  <c r="B28" i="22"/>
  <c r="I28" i="22" s="1"/>
  <c r="D18" i="18"/>
  <c r="N13" i="64" s="1"/>
  <c r="M56" i="62"/>
  <c r="P52" i="62" s="1"/>
  <c r="AA12" i="62"/>
  <c r="E44" i="62"/>
  <c r="AB10" i="62"/>
  <c r="AC8" i="62"/>
  <c r="AC7" i="62"/>
  <c r="AI14" i="61"/>
  <c r="AG22" i="12"/>
  <c r="AG13" i="61"/>
  <c r="AE20" i="12"/>
  <c r="AG12" i="61"/>
  <c r="AE18" i="12"/>
  <c r="AF17" i="12"/>
  <c r="AF16" i="61"/>
  <c r="AG15" i="61"/>
  <c r="AF23" i="12"/>
  <c r="AF24" i="12" s="1"/>
  <c r="AG11" i="61"/>
  <c r="AF17" i="61"/>
  <c r="AG10" i="61"/>
  <c r="AI9" i="61"/>
  <c r="AG8" i="61"/>
  <c r="AF10" i="12"/>
  <c r="AD27" i="12"/>
  <c r="AD25" i="12"/>
  <c r="I19" i="32"/>
  <c r="D19" i="32"/>
  <c r="G29" i="18"/>
  <c r="AG33" i="16"/>
  <c r="F37" i="19" s="1"/>
  <c r="AE34" i="16"/>
  <c r="AF34" i="16" s="1"/>
  <c r="AF26" i="14"/>
  <c r="G30" i="18" s="1"/>
  <c r="X21" i="14"/>
  <c r="K18" i="48"/>
  <c r="Q18" i="48" s="1"/>
  <c r="E18" i="48"/>
  <c r="D18" i="53"/>
  <c r="K18" i="53" s="1"/>
  <c r="Q18" i="53" s="1"/>
  <c r="E28" i="8"/>
  <c r="C28" i="8"/>
  <c r="J28" i="8" s="1"/>
  <c r="B28" i="8"/>
  <c r="I28" i="8" s="1"/>
  <c r="D28" i="8"/>
  <c r="K28" i="8" s="1"/>
  <c r="E18" i="54"/>
  <c r="AD49" i="61"/>
  <c r="AI72" i="61" s="1"/>
  <c r="AF19" i="12"/>
  <c r="AE25" i="61"/>
  <c r="AE26" i="61" s="1"/>
  <c r="AF14" i="12"/>
  <c r="C51" i="16"/>
  <c r="W29" i="16"/>
  <c r="AF16" i="12"/>
  <c r="AE36" i="61"/>
  <c r="AE37" i="61" s="1"/>
  <c r="AE38" i="61" s="1"/>
  <c r="Z10" i="14"/>
  <c r="AC37" i="12"/>
  <c r="AH62" i="12"/>
  <c r="AI62" i="12" s="1"/>
  <c r="AG61" i="12"/>
  <c r="AF60" i="12"/>
  <c r="AC56" i="12"/>
  <c r="AE59" i="12"/>
  <c r="AD41" i="61"/>
  <c r="Y12" i="14" s="1"/>
  <c r="Y13" i="14" s="1"/>
  <c r="D30" i="7"/>
  <c r="C30" i="7"/>
  <c r="J30" i="7" s="1"/>
  <c r="B30" i="7"/>
  <c r="E30" i="7"/>
  <c r="K29" i="7"/>
  <c r="AD68" i="61"/>
  <c r="AI73" i="61"/>
  <c r="AF70" i="61"/>
  <c r="AG71" i="61"/>
  <c r="AH72" i="61"/>
  <c r="AE69" i="61"/>
  <c r="AJ74" i="61"/>
  <c r="AK74" i="61" s="1"/>
  <c r="AH12" i="12"/>
  <c r="B19" i="33"/>
  <c r="C18" i="33"/>
  <c r="J18" i="33" s="1"/>
  <c r="P18" i="33" s="1"/>
  <c r="K17" i="36"/>
  <c r="E17" i="36"/>
  <c r="X13" i="14"/>
  <c r="AH21" i="12"/>
  <c r="I29" i="7"/>
  <c r="I80" i="12" l="1"/>
  <c r="H81" i="12"/>
  <c r="G35" i="14" s="1"/>
  <c r="F36" i="14"/>
  <c r="F37" i="14" s="1"/>
  <c r="F40" i="14" s="1"/>
  <c r="F41" i="14" s="1"/>
  <c r="F39" i="16"/>
  <c r="F48" i="16" s="1"/>
  <c r="F51" i="16" s="1"/>
  <c r="AB21" i="62"/>
  <c r="AB24" i="62"/>
  <c r="E18" i="18"/>
  <c r="O13" i="64" s="1"/>
  <c r="B19" i="21"/>
  <c r="I19" i="21" s="1"/>
  <c r="O19" i="21" s="1"/>
  <c r="D17" i="6" s="1"/>
  <c r="K29" i="14" s="1"/>
  <c r="F15" i="52"/>
  <c r="E14" i="52"/>
  <c r="F15" i="9"/>
  <c r="R18" i="48"/>
  <c r="C17" i="35"/>
  <c r="J17" i="35" s="1"/>
  <c r="B18" i="35"/>
  <c r="C28" i="23"/>
  <c r="J28" i="23" s="1"/>
  <c r="B28" i="23"/>
  <c r="I28" i="23" s="1"/>
  <c r="D28" i="23"/>
  <c r="K28" i="23" s="1"/>
  <c r="E28" i="23"/>
  <c r="B18" i="34"/>
  <c r="C17" i="34"/>
  <c r="J17" i="34" s="1"/>
  <c r="P29" i="34" s="1"/>
  <c r="K18" i="37"/>
  <c r="E18" i="37"/>
  <c r="D18" i="56"/>
  <c r="I30" i="56"/>
  <c r="B29" i="22"/>
  <c r="I29" i="22" s="1"/>
  <c r="D29" i="22"/>
  <c r="K29" i="22" s="1"/>
  <c r="E29" i="22"/>
  <c r="C29" i="22"/>
  <c r="J29" i="22" s="1"/>
  <c r="B19" i="55"/>
  <c r="I26" i="55" s="1"/>
  <c r="O38" i="55" s="1"/>
  <c r="C18" i="55"/>
  <c r="B29" i="24"/>
  <c r="I29" i="24" s="1"/>
  <c r="E29" i="24"/>
  <c r="C29" i="24"/>
  <c r="J29" i="24" s="1"/>
  <c r="D29" i="24"/>
  <c r="K29" i="24" s="1"/>
  <c r="AC10" i="62"/>
  <c r="AC21" i="62" s="1"/>
  <c r="AD8" i="62"/>
  <c r="AD7" i="62"/>
  <c r="AB12" i="62"/>
  <c r="AJ14" i="61"/>
  <c r="AK14" i="61" s="1"/>
  <c r="AH22" i="12"/>
  <c r="AI22" i="12" s="1"/>
  <c r="AH13" i="61"/>
  <c r="AF20" i="12"/>
  <c r="AH12" i="61"/>
  <c r="AF18" i="12"/>
  <c r="AG17" i="12"/>
  <c r="AG17" i="61"/>
  <c r="AH15" i="61"/>
  <c r="AG23" i="12"/>
  <c r="AG24" i="12" s="1"/>
  <c r="AH11" i="61"/>
  <c r="AG16" i="61"/>
  <c r="AH10" i="61"/>
  <c r="AJ9" i="61"/>
  <c r="AK9" i="61" s="1"/>
  <c r="AH8" i="61"/>
  <c r="AG10" i="12"/>
  <c r="AE27" i="12"/>
  <c r="AE25" i="12"/>
  <c r="K19" i="32"/>
  <c r="E19" i="32"/>
  <c r="I29" i="18"/>
  <c r="J29" i="18"/>
  <c r="M29" i="18" s="1"/>
  <c r="P29" i="18" s="1"/>
  <c r="J30" i="18"/>
  <c r="M30" i="18" s="1"/>
  <c r="P30" i="18" s="1"/>
  <c r="I30" i="18"/>
  <c r="H37" i="19"/>
  <c r="AE68" i="61"/>
  <c r="X29" i="16"/>
  <c r="AJ73" i="61"/>
  <c r="AK73" i="61" s="1"/>
  <c r="B19" i="54"/>
  <c r="I19" i="54" s="1"/>
  <c r="C18" i="54"/>
  <c r="E18" i="53"/>
  <c r="C29" i="8"/>
  <c r="J29" i="8" s="1"/>
  <c r="B29" i="8"/>
  <c r="I29" i="8" s="1"/>
  <c r="E29" i="8"/>
  <c r="D29" i="8"/>
  <c r="B19" i="48"/>
  <c r="C18" i="48"/>
  <c r="J18" i="48" s="1"/>
  <c r="P18" i="48" s="1"/>
  <c r="E15" i="9" s="1"/>
  <c r="AG70" i="61"/>
  <c r="AF69" i="61"/>
  <c r="AH71" i="61"/>
  <c r="AE49" i="61"/>
  <c r="AF68" i="61" s="1"/>
  <c r="AG19" i="12"/>
  <c r="AG60" i="12"/>
  <c r="AF59" i="12"/>
  <c r="AH61" i="12"/>
  <c r="AI61" i="12" s="1"/>
  <c r="AD56" i="12"/>
  <c r="AF25" i="61"/>
  <c r="AF26" i="61" s="1"/>
  <c r="C52" i="16"/>
  <c r="C54" i="16" s="1"/>
  <c r="Y21" i="14"/>
  <c r="AG14" i="12"/>
  <c r="AA10" i="14"/>
  <c r="AD37" i="12"/>
  <c r="AF36" i="61"/>
  <c r="AF37" i="61" s="1"/>
  <c r="AG16" i="12"/>
  <c r="AE41" i="61"/>
  <c r="Z12" i="14" s="1"/>
  <c r="Z13" i="14" s="1"/>
  <c r="I30" i="7"/>
  <c r="D19" i="33"/>
  <c r="I19" i="33"/>
  <c r="O19" i="33" s="1"/>
  <c r="AI21" i="12"/>
  <c r="AI12" i="12"/>
  <c r="AI11" i="12"/>
  <c r="K30" i="7"/>
  <c r="B18" i="36"/>
  <c r="C17" i="36"/>
  <c r="J17" i="36" s="1"/>
  <c r="D31" i="7"/>
  <c r="E31" i="7"/>
  <c r="B31" i="7"/>
  <c r="C31" i="7"/>
  <c r="J31" i="7" s="1"/>
  <c r="G36" i="14" l="1"/>
  <c r="G37" i="14" s="1"/>
  <c r="G40" i="14" s="1"/>
  <c r="G41" i="14" s="1"/>
  <c r="G39" i="16"/>
  <c r="G48" i="16" s="1"/>
  <c r="G51" i="16" s="1"/>
  <c r="J80" i="12"/>
  <c r="I81" i="12"/>
  <c r="H35" i="14" s="1"/>
  <c r="AC24" i="62"/>
  <c r="K37" i="16"/>
  <c r="K47" i="16" s="1"/>
  <c r="L49" i="16" s="1"/>
  <c r="K33" i="14"/>
  <c r="K31" i="14"/>
  <c r="D19" i="21"/>
  <c r="J24" i="55"/>
  <c r="P36" i="55" s="1"/>
  <c r="J18" i="54"/>
  <c r="I40" i="16"/>
  <c r="D18" i="35"/>
  <c r="I18" i="35"/>
  <c r="C29" i="23"/>
  <c r="J29" i="23" s="1"/>
  <c r="D29" i="23"/>
  <c r="K29" i="23" s="1"/>
  <c r="B29" i="23"/>
  <c r="I29" i="23" s="1"/>
  <c r="E29" i="23"/>
  <c r="D18" i="34"/>
  <c r="I18" i="34"/>
  <c r="O30" i="34" s="1"/>
  <c r="B19" i="37"/>
  <c r="C18" i="37"/>
  <c r="J18" i="37" s="1"/>
  <c r="K30" i="56"/>
  <c r="E18" i="56"/>
  <c r="E30" i="22"/>
  <c r="D30" i="22"/>
  <c r="K30" i="22" s="1"/>
  <c r="B30" i="22"/>
  <c r="I30" i="22" s="1"/>
  <c r="C30" i="22"/>
  <c r="J30" i="22" s="1"/>
  <c r="E30" i="24"/>
  <c r="B30" i="24"/>
  <c r="I30" i="24" s="1"/>
  <c r="C30" i="24"/>
  <c r="J30" i="24" s="1"/>
  <c r="D30" i="24"/>
  <c r="K30" i="24" s="1"/>
  <c r="D19" i="55"/>
  <c r="K26" i="55" s="1"/>
  <c r="Q38" i="55" s="1"/>
  <c r="I33" i="55"/>
  <c r="O45" i="55" s="1"/>
  <c r="AC12" i="62"/>
  <c r="AD10" i="62"/>
  <c r="AD24" i="62" s="1"/>
  <c r="AE7" i="62"/>
  <c r="AE8" i="62"/>
  <c r="AI13" i="61"/>
  <c r="AG20" i="12"/>
  <c r="AI12" i="61"/>
  <c r="AG18" i="12"/>
  <c r="AH17" i="12"/>
  <c r="AH16" i="61"/>
  <c r="AI15" i="61"/>
  <c r="AH23" i="12"/>
  <c r="AH24" i="12" s="1"/>
  <c r="AH17" i="61"/>
  <c r="AI11" i="61"/>
  <c r="AI10" i="61"/>
  <c r="AI8" i="61"/>
  <c r="AH10" i="12"/>
  <c r="AF27" i="12"/>
  <c r="AF25" i="12"/>
  <c r="B20" i="32"/>
  <c r="C19" i="32"/>
  <c r="J19" i="32" s="1"/>
  <c r="J37" i="19"/>
  <c r="AG69" i="61"/>
  <c r="AJ72" i="61"/>
  <c r="AK72" i="61" s="1"/>
  <c r="K29" i="8"/>
  <c r="B19" i="53"/>
  <c r="I19" i="53" s="1"/>
  <c r="O19" i="53" s="1"/>
  <c r="C18" i="53"/>
  <c r="C30" i="8"/>
  <c r="J30" i="8" s="1"/>
  <c r="D30" i="8"/>
  <c r="K30" i="8" s="1"/>
  <c r="B30" i="8"/>
  <c r="I30" i="8" s="1"/>
  <c r="E30" i="8"/>
  <c r="I19" i="48"/>
  <c r="O19" i="48" s="1"/>
  <c r="D16" i="9" s="1"/>
  <c r="D19" i="48"/>
  <c r="D19" i="54"/>
  <c r="K19" i="54" s="1"/>
  <c r="AH19" i="12"/>
  <c r="AH70" i="61"/>
  <c r="AI71" i="61"/>
  <c r="AG25" i="61"/>
  <c r="AG26" i="61" s="1"/>
  <c r="AH14" i="12"/>
  <c r="D12" i="16"/>
  <c r="AH16" i="12"/>
  <c r="Y29" i="16"/>
  <c r="Z21" i="14"/>
  <c r="AF41" i="61"/>
  <c r="AA12" i="14" s="1"/>
  <c r="AA13" i="14" s="1"/>
  <c r="AF38" i="61"/>
  <c r="AF49" i="61" s="1"/>
  <c r="AE56" i="12"/>
  <c r="AG59" i="12"/>
  <c r="AH60" i="12"/>
  <c r="AI60" i="12" s="1"/>
  <c r="AB10" i="14"/>
  <c r="AE37" i="12"/>
  <c r="AG36" i="61"/>
  <c r="AG37" i="61" s="1"/>
  <c r="AG38" i="61" s="1"/>
  <c r="Y122" i="12"/>
  <c r="D32" i="7"/>
  <c r="B32" i="7"/>
  <c r="E32" i="7"/>
  <c r="C32" i="7"/>
  <c r="J32" i="7" s="1"/>
  <c r="K31" i="7"/>
  <c r="Y117" i="12"/>
  <c r="W122" i="12"/>
  <c r="G15" i="18"/>
  <c r="I31" i="7"/>
  <c r="D18" i="36"/>
  <c r="I18" i="36"/>
  <c r="W117" i="12"/>
  <c r="G10" i="18"/>
  <c r="K19" i="33"/>
  <c r="Q19" i="33" s="1"/>
  <c r="R19" i="33" s="1"/>
  <c r="E19" i="33"/>
  <c r="H39" i="16" l="1"/>
  <c r="H48" i="16" s="1"/>
  <c r="H51" i="16" s="1"/>
  <c r="H36" i="14"/>
  <c r="H37" i="14" s="1"/>
  <c r="H40" i="14" s="1"/>
  <c r="H41" i="14" s="1"/>
  <c r="K80" i="12"/>
  <c r="J81" i="12"/>
  <c r="AD21" i="62"/>
  <c r="K34" i="14"/>
  <c r="K19" i="21"/>
  <c r="Q19" i="21" s="1"/>
  <c r="F17" i="6" s="1"/>
  <c r="K41" i="16" s="1"/>
  <c r="E19" i="21"/>
  <c r="C19" i="21"/>
  <c r="J19" i="21" s="1"/>
  <c r="P19" i="21" s="1"/>
  <c r="E17" i="6" s="1"/>
  <c r="J18" i="53"/>
  <c r="P18" i="53" s="1"/>
  <c r="D16" i="52"/>
  <c r="K18" i="35"/>
  <c r="E18" i="35"/>
  <c r="C30" i="23"/>
  <c r="J30" i="23" s="1"/>
  <c r="D30" i="23"/>
  <c r="K30" i="23" s="1"/>
  <c r="E30" i="23"/>
  <c r="B30" i="23"/>
  <c r="I30" i="23" s="1"/>
  <c r="K18" i="34"/>
  <c r="Q30" i="34" s="1"/>
  <c r="R30" i="34" s="1"/>
  <c r="E18" i="34"/>
  <c r="I19" i="37"/>
  <c r="D19" i="37"/>
  <c r="B19" i="56"/>
  <c r="C18" i="56"/>
  <c r="J30" i="56" s="1"/>
  <c r="K33" i="55"/>
  <c r="Q45" i="55" s="1"/>
  <c r="E19" i="55"/>
  <c r="B31" i="24"/>
  <c r="I31" i="24" s="1"/>
  <c r="C31" i="24"/>
  <c r="J31" i="24" s="1"/>
  <c r="E31" i="24"/>
  <c r="D31" i="24"/>
  <c r="K31" i="24" s="1"/>
  <c r="C31" i="22"/>
  <c r="J31" i="22" s="1"/>
  <c r="E31" i="22"/>
  <c r="B31" i="22"/>
  <c r="I31" i="22" s="1"/>
  <c r="D31" i="22"/>
  <c r="K31" i="22" s="1"/>
  <c r="AE10" i="62"/>
  <c r="AF7" i="62"/>
  <c r="AF8" i="62"/>
  <c r="AD12" i="62"/>
  <c r="AJ13" i="61"/>
  <c r="AH20" i="12"/>
  <c r="AI20" i="12" s="1"/>
  <c r="AI16" i="61"/>
  <c r="AJ12" i="61"/>
  <c r="AK12" i="61" s="1"/>
  <c r="AH18" i="12"/>
  <c r="AI18" i="12" s="1"/>
  <c r="AI17" i="12"/>
  <c r="AI17" i="61"/>
  <c r="AJ15" i="61"/>
  <c r="AK15" i="61" s="1"/>
  <c r="AI24" i="12"/>
  <c r="AI23" i="12"/>
  <c r="AJ11" i="61"/>
  <c r="AK11" i="61" s="1"/>
  <c r="AJ10" i="61"/>
  <c r="AJ8" i="61"/>
  <c r="AK8" i="61" s="1"/>
  <c r="Y116" i="12" s="1"/>
  <c r="AI10" i="12"/>
  <c r="G9" i="18" s="1"/>
  <c r="AI9" i="12"/>
  <c r="AG27" i="12"/>
  <c r="AG25" i="12"/>
  <c r="D20" i="32"/>
  <c r="I20" i="32"/>
  <c r="L37" i="19"/>
  <c r="B31" i="8"/>
  <c r="I31" i="8" s="1"/>
  <c r="D31" i="8"/>
  <c r="K31" i="8" s="1"/>
  <c r="C31" i="8"/>
  <c r="J31" i="8" s="1"/>
  <c r="E31" i="8"/>
  <c r="E19" i="54"/>
  <c r="K19" i="48"/>
  <c r="Q19" i="48" s="1"/>
  <c r="E19" i="48"/>
  <c r="D19" i="53"/>
  <c r="K19" i="53" s="1"/>
  <c r="Q19" i="53" s="1"/>
  <c r="AG49" i="61"/>
  <c r="AH68" i="61" s="1"/>
  <c r="AI19" i="12"/>
  <c r="AH25" i="61"/>
  <c r="AI16" i="12"/>
  <c r="AI13" i="12"/>
  <c r="AF56" i="12"/>
  <c r="AH59" i="12"/>
  <c r="AI59" i="12" s="1"/>
  <c r="AI70" i="61"/>
  <c r="AJ71" i="61"/>
  <c r="AK71" i="61" s="1"/>
  <c r="AH69" i="61"/>
  <c r="AG68" i="61"/>
  <c r="AI15" i="12"/>
  <c r="Z29" i="16"/>
  <c r="AC10" i="14"/>
  <c r="AH36" i="61"/>
  <c r="AH37" i="61" s="1"/>
  <c r="AH38" i="61" s="1"/>
  <c r="AF37" i="12"/>
  <c r="D52" i="16"/>
  <c r="D54" i="16" s="1"/>
  <c r="AG41" i="61"/>
  <c r="AB12" i="14" s="1"/>
  <c r="AB13" i="14" s="1"/>
  <c r="AA21" i="14"/>
  <c r="B20" i="33"/>
  <c r="C19" i="33"/>
  <c r="J19" i="33" s="1"/>
  <c r="P19" i="33" s="1"/>
  <c r="K18" i="36"/>
  <c r="E18" i="36"/>
  <c r="I15" i="18"/>
  <c r="J15" i="18"/>
  <c r="K32" i="7"/>
  <c r="AA122" i="12"/>
  <c r="AB122" i="12" s="1"/>
  <c r="I10" i="18"/>
  <c r="J10" i="18"/>
  <c r="D33" i="7"/>
  <c r="C33" i="7"/>
  <c r="J33" i="7" s="1"/>
  <c r="E33" i="7"/>
  <c r="B33" i="7"/>
  <c r="AA117" i="12"/>
  <c r="AB117" i="12" s="1"/>
  <c r="I32" i="7"/>
  <c r="L80" i="12" l="1"/>
  <c r="K81" i="12"/>
  <c r="AE21" i="62"/>
  <c r="AE24" i="62"/>
  <c r="AF52" i="62"/>
  <c r="B20" i="21"/>
  <c r="I20" i="21" s="1"/>
  <c r="O20" i="21" s="1"/>
  <c r="D18" i="6" s="1"/>
  <c r="L29" i="14" s="1"/>
  <c r="F16" i="52"/>
  <c r="E15" i="52"/>
  <c r="I35" i="14" s="1"/>
  <c r="F16" i="9"/>
  <c r="R19" i="48"/>
  <c r="B19" i="35"/>
  <c r="C18" i="35"/>
  <c r="J18" i="35" s="1"/>
  <c r="B31" i="23"/>
  <c r="I31" i="23" s="1"/>
  <c r="D31" i="23"/>
  <c r="K31" i="23" s="1"/>
  <c r="C31" i="23"/>
  <c r="J31" i="23" s="1"/>
  <c r="E31" i="23"/>
  <c r="B19" i="34"/>
  <c r="C18" i="34"/>
  <c r="J18" i="34" s="1"/>
  <c r="P30" i="34" s="1"/>
  <c r="E19" i="37"/>
  <c r="K19" i="37"/>
  <c r="I33" i="56"/>
  <c r="D19" i="56"/>
  <c r="C32" i="22"/>
  <c r="J32" i="22" s="1"/>
  <c r="D32" i="22"/>
  <c r="K32" i="22" s="1"/>
  <c r="E32" i="22"/>
  <c r="B32" i="22"/>
  <c r="I32" i="22" s="1"/>
  <c r="B20" i="55"/>
  <c r="I28" i="55" s="1"/>
  <c r="O40" i="55" s="1"/>
  <c r="C19" i="55"/>
  <c r="E32" i="24"/>
  <c r="D32" i="24"/>
  <c r="B32" i="24"/>
  <c r="I32" i="24" s="1"/>
  <c r="C32" i="24"/>
  <c r="J32" i="24" s="1"/>
  <c r="AE12" i="62"/>
  <c r="AF10" i="62"/>
  <c r="AF21" i="62" s="1"/>
  <c r="AG7" i="62"/>
  <c r="AG8" i="62"/>
  <c r="Y120" i="12"/>
  <c r="G13" i="18"/>
  <c r="W120" i="12"/>
  <c r="AJ16" i="61"/>
  <c r="AJ25" i="61" s="1"/>
  <c r="AJ26" i="61" s="1"/>
  <c r="AJ17" i="61"/>
  <c r="Y123" i="12"/>
  <c r="G16" i="18"/>
  <c r="W123" i="12"/>
  <c r="W116" i="12"/>
  <c r="AA116" i="12" s="1"/>
  <c r="AH25" i="12"/>
  <c r="AH27" i="12"/>
  <c r="AI27" i="12" s="1"/>
  <c r="K20" i="32"/>
  <c r="E20" i="32"/>
  <c r="AB21" i="14"/>
  <c r="AI69" i="61"/>
  <c r="AJ70" i="61"/>
  <c r="AK70" i="61" s="1"/>
  <c r="D32" i="8"/>
  <c r="C32" i="8"/>
  <c r="J32" i="8" s="1"/>
  <c r="E32" i="8"/>
  <c r="B32" i="8"/>
  <c r="I32" i="8" s="1"/>
  <c r="E19" i="53"/>
  <c r="B20" i="54"/>
  <c r="I20" i="54" s="1"/>
  <c r="C19" i="54"/>
  <c r="B20" i="48"/>
  <c r="C19" i="48"/>
  <c r="J19" i="48" s="1"/>
  <c r="P19" i="48" s="1"/>
  <c r="E16" i="9" s="1"/>
  <c r="W121" i="12"/>
  <c r="G14" i="18"/>
  <c r="AI25" i="61"/>
  <c r="AI36" i="61"/>
  <c r="AI37" i="61" s="1"/>
  <c r="AI38" i="61" s="1"/>
  <c r="AD10" i="14"/>
  <c r="AG37" i="12"/>
  <c r="AI14" i="12"/>
  <c r="AI25" i="12" s="1"/>
  <c r="AG56" i="12"/>
  <c r="Y119" i="12"/>
  <c r="AH41" i="61"/>
  <c r="AK10" i="61"/>
  <c r="AA29" i="16"/>
  <c r="E12" i="16"/>
  <c r="AK13" i="61"/>
  <c r="G12" i="18"/>
  <c r="W119" i="12"/>
  <c r="AH26" i="61"/>
  <c r="AH49" i="61" s="1"/>
  <c r="I33" i="7"/>
  <c r="B19" i="36"/>
  <c r="C18" i="36"/>
  <c r="J18" i="36" s="1"/>
  <c r="I20" i="33"/>
  <c r="O20" i="33" s="1"/>
  <c r="D20" i="33"/>
  <c r="C34" i="7"/>
  <c r="J34" i="7" s="1"/>
  <c r="D34" i="7"/>
  <c r="B34" i="7"/>
  <c r="E34" i="7"/>
  <c r="M15" i="18"/>
  <c r="K33" i="7"/>
  <c r="M10" i="18"/>
  <c r="J9" i="18"/>
  <c r="I9" i="18"/>
  <c r="M80" i="12" l="1"/>
  <c r="L81" i="12"/>
  <c r="AF24" i="62"/>
  <c r="AK20" i="12"/>
  <c r="AK12" i="12"/>
  <c r="AK18" i="12"/>
  <c r="AK10" i="12"/>
  <c r="AK24" i="12"/>
  <c r="AK16" i="12"/>
  <c r="AK22" i="12"/>
  <c r="AK14" i="12"/>
  <c r="AF53" i="62"/>
  <c r="Y52" i="62" s="1"/>
  <c r="D20" i="21"/>
  <c r="C20" i="21" s="1"/>
  <c r="J20" i="21" s="1"/>
  <c r="P20" i="21" s="1"/>
  <c r="E18" i="6" s="1"/>
  <c r="L37" i="16"/>
  <c r="L47" i="16" s="1"/>
  <c r="L31" i="14"/>
  <c r="L33" i="14"/>
  <c r="J33" i="55"/>
  <c r="P45" i="55" s="1"/>
  <c r="J26" i="55"/>
  <c r="P38" i="55" s="1"/>
  <c r="J19" i="54"/>
  <c r="J40" i="16"/>
  <c r="I39" i="16"/>
  <c r="I48" i="16" s="1"/>
  <c r="I51" i="16" s="1"/>
  <c r="I36" i="14"/>
  <c r="I37" i="14" s="1"/>
  <c r="I40" i="14" s="1"/>
  <c r="I41" i="14" s="1"/>
  <c r="D19" i="35"/>
  <c r="I19" i="35"/>
  <c r="C32" i="23"/>
  <c r="J32" i="23" s="1"/>
  <c r="D32" i="23"/>
  <c r="K32" i="23" s="1"/>
  <c r="B32" i="23"/>
  <c r="I32" i="23" s="1"/>
  <c r="E32" i="23"/>
  <c r="I19" i="34"/>
  <c r="O31" i="34" s="1"/>
  <c r="D19" i="34"/>
  <c r="B20" i="37"/>
  <c r="C19" i="37"/>
  <c r="J19" i="37" s="1"/>
  <c r="K33" i="56"/>
  <c r="E19" i="56"/>
  <c r="D33" i="24"/>
  <c r="K33" i="24" s="1"/>
  <c r="B33" i="24"/>
  <c r="I33" i="24" s="1"/>
  <c r="E33" i="24"/>
  <c r="C33" i="24"/>
  <c r="J33" i="24" s="1"/>
  <c r="D33" i="22"/>
  <c r="K33" i="22" s="1"/>
  <c r="C33" i="22"/>
  <c r="J33" i="22" s="1"/>
  <c r="B33" i="22"/>
  <c r="I33" i="22" s="1"/>
  <c r="E33" i="22"/>
  <c r="K32" i="24"/>
  <c r="D20" i="55"/>
  <c r="K28" i="55" s="1"/>
  <c r="Q40" i="55" s="1"/>
  <c r="AF12" i="62"/>
  <c r="AH8" i="62"/>
  <c r="AI8" i="62" s="1"/>
  <c r="AH7" i="62"/>
  <c r="AG10" i="62"/>
  <c r="AG21" i="62" s="1"/>
  <c r="AA120" i="12"/>
  <c r="AB120" i="12" s="1"/>
  <c r="J13" i="18"/>
  <c r="M13" i="18" s="1"/>
  <c r="P13" i="18" s="1"/>
  <c r="I13" i="18"/>
  <c r="AB116" i="12"/>
  <c r="I16" i="18"/>
  <c r="J16" i="18"/>
  <c r="M16" i="18" s="1"/>
  <c r="P16" i="18" s="1"/>
  <c r="AA123" i="12"/>
  <c r="AB123" i="12" s="1"/>
  <c r="B21" i="32"/>
  <c r="C20" i="32"/>
  <c r="J20" i="32" s="1"/>
  <c r="AC21" i="14"/>
  <c r="AB29" i="16"/>
  <c r="AK17" i="61"/>
  <c r="D20" i="54"/>
  <c r="K20" i="54" s="1"/>
  <c r="C33" i="8"/>
  <c r="J33" i="8" s="1"/>
  <c r="B33" i="8"/>
  <c r="I33" i="8" s="1"/>
  <c r="D33" i="8"/>
  <c r="K33" i="8" s="1"/>
  <c r="E33" i="8"/>
  <c r="D20" i="48"/>
  <c r="I20" i="48"/>
  <c r="O20" i="48" s="1"/>
  <c r="D17" i="9" s="1"/>
  <c r="B20" i="53"/>
  <c r="I20" i="53" s="1"/>
  <c r="O20" i="53" s="1"/>
  <c r="C19" i="53"/>
  <c r="K32" i="8"/>
  <c r="I14" i="18"/>
  <c r="J14" i="18"/>
  <c r="M14" i="18" s="1"/>
  <c r="P14" i="18" s="1"/>
  <c r="AA119" i="12"/>
  <c r="AB119" i="12" s="1"/>
  <c r="E52" i="16"/>
  <c r="E54" i="16" s="1"/>
  <c r="AH37" i="12"/>
  <c r="AJ36" i="61"/>
  <c r="AE10" i="14"/>
  <c r="AF10" i="14" s="1"/>
  <c r="AK16" i="61"/>
  <c r="T12" i="63" s="1"/>
  <c r="AI68" i="61"/>
  <c r="AJ69" i="61"/>
  <c r="AK69" i="61" s="1"/>
  <c r="I12" i="18"/>
  <c r="J12" i="18"/>
  <c r="M12" i="18" s="1"/>
  <c r="P12" i="18" s="1"/>
  <c r="Y118" i="12"/>
  <c r="W118" i="12"/>
  <c r="G11" i="18"/>
  <c r="AI41" i="61"/>
  <c r="AK25" i="61"/>
  <c r="Y121" i="12"/>
  <c r="AA121" i="12" s="1"/>
  <c r="AB121" i="12" s="1"/>
  <c r="AC12" i="14"/>
  <c r="AC13" i="14" s="1"/>
  <c r="AH57" i="12"/>
  <c r="AH56" i="12"/>
  <c r="AI56" i="12" s="1"/>
  <c r="G47" i="18"/>
  <c r="I47" i="18" s="1"/>
  <c r="AI26" i="61"/>
  <c r="AI49" i="61" s="1"/>
  <c r="K34" i="7"/>
  <c r="F34" i="7"/>
  <c r="T3" i="7" s="1"/>
  <c r="M9" i="18"/>
  <c r="P10" i="18"/>
  <c r="P15" i="18"/>
  <c r="K20" i="33"/>
  <c r="Q20" i="33" s="1"/>
  <c r="R20" i="33" s="1"/>
  <c r="E20" i="33"/>
  <c r="B35" i="7"/>
  <c r="C35" i="7"/>
  <c r="J35" i="7" s="1"/>
  <c r="S4" i="7"/>
  <c r="D35" i="7"/>
  <c r="E35" i="7"/>
  <c r="I34" i="7"/>
  <c r="D19" i="36"/>
  <c r="I19" i="36"/>
  <c r="Z51" i="12" l="1"/>
  <c r="W55" i="12"/>
  <c r="W65" i="12" s="1"/>
  <c r="T13" i="16" s="1"/>
  <c r="T18" i="16" s="1"/>
  <c r="X55" i="12"/>
  <c r="Y55" i="12"/>
  <c r="Z55" i="12"/>
  <c r="AA55" i="12"/>
  <c r="AB55" i="12"/>
  <c r="AC55" i="12"/>
  <c r="AD55" i="12"/>
  <c r="AE55" i="12"/>
  <c r="AF55" i="12"/>
  <c r="Y58" i="12"/>
  <c r="Z58" i="12"/>
  <c r="AA58" i="12"/>
  <c r="AB58" i="12"/>
  <c r="AC58" i="12"/>
  <c r="AD58" i="12"/>
  <c r="AE58" i="12"/>
  <c r="AF58" i="12"/>
  <c r="AG58" i="12"/>
  <c r="AH58" i="12"/>
  <c r="X57" i="12"/>
  <c r="Y57" i="12"/>
  <c r="Z57" i="12"/>
  <c r="AA57" i="12"/>
  <c r="AB57" i="12"/>
  <c r="AC57" i="12"/>
  <c r="AD57" i="12"/>
  <c r="AE57" i="12"/>
  <c r="AF57" i="12"/>
  <c r="AG57" i="12"/>
  <c r="N80" i="12"/>
  <c r="M81" i="12"/>
  <c r="AG55" i="12"/>
  <c r="AK25" i="12"/>
  <c r="AG24" i="62"/>
  <c r="AM15" i="61"/>
  <c r="AM11" i="61"/>
  <c r="AI66" i="61" s="1"/>
  <c r="AM14" i="61"/>
  <c r="AM10" i="61"/>
  <c r="AM8" i="61"/>
  <c r="AM13" i="61"/>
  <c r="AM9" i="61"/>
  <c r="AM12" i="61"/>
  <c r="L34" i="14"/>
  <c r="K20" i="21"/>
  <c r="Q20" i="21" s="1"/>
  <c r="F18" i="6" s="1"/>
  <c r="L41" i="16" s="1"/>
  <c r="E20" i="21"/>
  <c r="D17" i="52"/>
  <c r="J19" i="53"/>
  <c r="P19" i="53" s="1"/>
  <c r="K19" i="35"/>
  <c r="E19" i="35"/>
  <c r="D33" i="23"/>
  <c r="K33" i="23" s="1"/>
  <c r="E33" i="23"/>
  <c r="B33" i="23"/>
  <c r="I33" i="23" s="1"/>
  <c r="C33" i="23"/>
  <c r="J33" i="23" s="1"/>
  <c r="K19" i="34"/>
  <c r="Q31" i="34" s="1"/>
  <c r="R31" i="34" s="1"/>
  <c r="E19" i="34"/>
  <c r="D20" i="37"/>
  <c r="I20" i="37"/>
  <c r="B20" i="56"/>
  <c r="C19" i="56"/>
  <c r="J33" i="56" s="1"/>
  <c r="E20" i="55"/>
  <c r="B34" i="24"/>
  <c r="I34" i="24" s="1"/>
  <c r="C34" i="24"/>
  <c r="J34" i="24" s="1"/>
  <c r="E34" i="24"/>
  <c r="D34" i="24"/>
  <c r="B34" i="22"/>
  <c r="I34" i="22" s="1"/>
  <c r="D34" i="22"/>
  <c r="C34" i="22"/>
  <c r="J34" i="22" s="1"/>
  <c r="E34" i="22"/>
  <c r="AG12" i="62"/>
  <c r="AH10" i="62"/>
  <c r="AH21" i="62" s="1"/>
  <c r="AI7" i="62"/>
  <c r="D21" i="32"/>
  <c r="I21" i="32"/>
  <c r="AC29" i="16"/>
  <c r="K20" i="48"/>
  <c r="Q20" i="48" s="1"/>
  <c r="E20" i="48"/>
  <c r="D20" i="53"/>
  <c r="K20" i="53" s="1"/>
  <c r="Q20" i="53" s="1"/>
  <c r="C34" i="8"/>
  <c r="J34" i="8" s="1"/>
  <c r="E34" i="8"/>
  <c r="D34" i="8"/>
  <c r="B34" i="8"/>
  <c r="I34" i="8" s="1"/>
  <c r="E20" i="54"/>
  <c r="AD12" i="14"/>
  <c r="AD13" i="14" s="1"/>
  <c r="AK36" i="61"/>
  <c r="AJ37" i="61"/>
  <c r="AJ68" i="61"/>
  <c r="AK68" i="61" s="1"/>
  <c r="J11" i="18"/>
  <c r="I11" i="18"/>
  <c r="G8" i="18"/>
  <c r="F12" i="16"/>
  <c r="AD21" i="14"/>
  <c r="AA118" i="12"/>
  <c r="AB118" i="12" s="1"/>
  <c r="W125" i="12"/>
  <c r="AH55" i="12"/>
  <c r="AI37" i="12"/>
  <c r="AK26" i="61"/>
  <c r="F16" i="19" s="1"/>
  <c r="AM27" i="61" s="1"/>
  <c r="AD91" i="12"/>
  <c r="Z91" i="12"/>
  <c r="W91" i="12"/>
  <c r="AG91" i="12"/>
  <c r="Y91" i="12"/>
  <c r="AH91" i="12"/>
  <c r="AE91" i="12"/>
  <c r="AC91" i="12"/>
  <c r="AI91" i="12"/>
  <c r="X91" i="12"/>
  <c r="AA91" i="12"/>
  <c r="AB91" i="12"/>
  <c r="AF91" i="12"/>
  <c r="AC89" i="61"/>
  <c r="Y30" i="62"/>
  <c r="Y125" i="12"/>
  <c r="K19" i="36"/>
  <c r="E19" i="36"/>
  <c r="D36" i="7"/>
  <c r="K36" i="7" s="1"/>
  <c r="E36" i="7"/>
  <c r="B36" i="7"/>
  <c r="I36" i="7" s="1"/>
  <c r="C36" i="7"/>
  <c r="J36" i="7" s="1"/>
  <c r="I35" i="7"/>
  <c r="K35" i="7"/>
  <c r="W22" i="7"/>
  <c r="B21" i="33"/>
  <c r="C20" i="33"/>
  <c r="J20" i="33" s="1"/>
  <c r="P20" i="33" s="1"/>
  <c r="X21" i="7"/>
  <c r="U3" i="7"/>
  <c r="P9" i="18"/>
  <c r="AI57" i="12" l="1"/>
  <c r="AG65" i="12"/>
  <c r="AD13" i="16" s="1"/>
  <c r="AD18" i="16" s="1"/>
  <c r="Z67" i="61"/>
  <c r="AF65" i="12"/>
  <c r="AC13" i="16" s="1"/>
  <c r="AC18" i="16" s="1"/>
  <c r="AB65" i="12"/>
  <c r="Y13" i="16" s="1"/>
  <c r="Y18" i="16" s="1"/>
  <c r="X65" i="12"/>
  <c r="U13" i="16" s="1"/>
  <c r="U18" i="16" s="1"/>
  <c r="AE65" i="12"/>
  <c r="AB13" i="16" s="1"/>
  <c r="AB18" i="16" s="1"/>
  <c r="AA65" i="12"/>
  <c r="X13" i="16" s="1"/>
  <c r="X18" i="16" s="1"/>
  <c r="O80" i="12"/>
  <c r="N81" i="12"/>
  <c r="AI58" i="12"/>
  <c r="AD65" i="12"/>
  <c r="AA13" i="16" s="1"/>
  <c r="AA18" i="16" s="1"/>
  <c r="Z65" i="12"/>
  <c r="W13" i="16" s="1"/>
  <c r="W18" i="16" s="1"/>
  <c r="Y66" i="61"/>
  <c r="Y75" i="61" s="1"/>
  <c r="T19" i="16" s="1"/>
  <c r="Z66" i="61"/>
  <c r="AA66" i="61"/>
  <c r="AB66" i="61"/>
  <c r="AC66" i="61"/>
  <c r="AD66" i="61"/>
  <c r="AE66" i="61"/>
  <c r="AF66" i="61"/>
  <c r="AG66" i="61"/>
  <c r="AH66" i="61"/>
  <c r="AC65" i="12"/>
  <c r="Z13" i="16" s="1"/>
  <c r="Z18" i="16" s="1"/>
  <c r="Y65" i="12"/>
  <c r="V13" i="16" s="1"/>
  <c r="V18" i="16" s="1"/>
  <c r="T10" i="63"/>
  <c r="Q9" i="64"/>
  <c r="AH24" i="62"/>
  <c r="AM16" i="61"/>
  <c r="B21" i="21"/>
  <c r="I21" i="21" s="1"/>
  <c r="O21" i="21" s="1"/>
  <c r="D19" i="6" s="1"/>
  <c r="M29" i="14" s="1"/>
  <c r="E16" i="52"/>
  <c r="J35" i="14" s="1"/>
  <c r="F17" i="52"/>
  <c r="F17" i="9"/>
  <c r="R20" i="48"/>
  <c r="B20" i="35"/>
  <c r="C19" i="35"/>
  <c r="J19" i="35" s="1"/>
  <c r="B34" i="23"/>
  <c r="I34" i="23" s="1"/>
  <c r="E34" i="23"/>
  <c r="D34" i="23"/>
  <c r="C34" i="23"/>
  <c r="J34" i="23" s="1"/>
  <c r="B20" i="34"/>
  <c r="C19" i="34"/>
  <c r="J19" i="34" s="1"/>
  <c r="P31" i="34" s="1"/>
  <c r="K20" i="37"/>
  <c r="E20" i="37"/>
  <c r="I36" i="56"/>
  <c r="D20" i="56"/>
  <c r="K34" i="22"/>
  <c r="F34" i="22"/>
  <c r="T5" i="22" s="1"/>
  <c r="U5" i="22" s="1"/>
  <c r="D35" i="22"/>
  <c r="K35" i="22" s="1"/>
  <c r="E35" i="22"/>
  <c r="B35" i="22"/>
  <c r="I35" i="22" s="1"/>
  <c r="C35" i="22"/>
  <c r="J35" i="22" s="1"/>
  <c r="S6" i="22"/>
  <c r="K34" i="24"/>
  <c r="F34" i="24"/>
  <c r="T4" i="24" s="1"/>
  <c r="U4" i="24" s="1"/>
  <c r="B21" i="55"/>
  <c r="I30" i="55" s="1"/>
  <c r="O42" i="55" s="1"/>
  <c r="C20" i="55"/>
  <c r="E35" i="24"/>
  <c r="B35" i="24"/>
  <c r="I35" i="24" s="1"/>
  <c r="C35" i="24"/>
  <c r="J35" i="24" s="1"/>
  <c r="S5" i="24"/>
  <c r="D35" i="24"/>
  <c r="K35" i="24" s="1"/>
  <c r="AH12" i="62"/>
  <c r="AI12" i="62" s="1"/>
  <c r="AI10" i="62"/>
  <c r="K21" i="32"/>
  <c r="E21" i="32"/>
  <c r="B21" i="54"/>
  <c r="I21" i="54" s="1"/>
  <c r="C20" i="54"/>
  <c r="C35" i="8"/>
  <c r="J35" i="8" s="1"/>
  <c r="E35" i="8"/>
  <c r="D35" i="8"/>
  <c r="K35" i="8" s="1"/>
  <c r="B35" i="8"/>
  <c r="I35" i="8" s="1"/>
  <c r="E20" i="53"/>
  <c r="K34" i="8"/>
  <c r="F34" i="8"/>
  <c r="T7" i="8" s="1"/>
  <c r="U7" i="8" s="1"/>
  <c r="B21" i="48"/>
  <c r="C20" i="48"/>
  <c r="J20" i="48" s="1"/>
  <c r="P20" i="48" s="1"/>
  <c r="E17" i="9" s="1"/>
  <c r="AJ41" i="61"/>
  <c r="AK37" i="61"/>
  <c r="T14" i="63" s="1"/>
  <c r="T16" i="63" s="1"/>
  <c r="AJ38" i="61"/>
  <c r="H30" i="18"/>
  <c r="H22" i="18"/>
  <c r="H19" i="18"/>
  <c r="H28" i="18"/>
  <c r="H43" i="18"/>
  <c r="H34" i="18"/>
  <c r="H26" i="18"/>
  <c r="H47" i="18"/>
  <c r="H13" i="18"/>
  <c r="H14" i="18"/>
  <c r="H42" i="18"/>
  <c r="H8" i="18"/>
  <c r="U10" i="63" s="1"/>
  <c r="H16" i="18"/>
  <c r="H32" i="18"/>
  <c r="H29" i="18"/>
  <c r="H12" i="18"/>
  <c r="H27" i="18"/>
  <c r="H11" i="18"/>
  <c r="I8" i="18"/>
  <c r="Q11" i="64" s="1"/>
  <c r="H24" i="18"/>
  <c r="H20" i="18"/>
  <c r="H23" i="18"/>
  <c r="H15" i="18"/>
  <c r="H21" i="18"/>
  <c r="H10" i="18"/>
  <c r="H36" i="18"/>
  <c r="H9" i="18"/>
  <c r="H31" i="18"/>
  <c r="G114" i="4"/>
  <c r="AH65" i="12"/>
  <c r="AE13" i="16" s="1"/>
  <c r="AI55" i="12"/>
  <c r="AI65" i="12" s="1"/>
  <c r="AE21" i="14"/>
  <c r="F52" i="16"/>
  <c r="F54" i="16" s="1"/>
  <c r="Z120" i="12"/>
  <c r="Z123" i="12"/>
  <c r="Z118" i="12"/>
  <c r="Z117" i="12"/>
  <c r="Z116" i="12"/>
  <c r="Z119" i="12"/>
  <c r="Z121" i="12"/>
  <c r="Z122" i="12"/>
  <c r="X117" i="12"/>
  <c r="X122" i="12"/>
  <c r="X120" i="12"/>
  <c r="X118" i="12"/>
  <c r="X116" i="12"/>
  <c r="X123" i="12"/>
  <c r="X121" i="12"/>
  <c r="X119" i="12"/>
  <c r="AA125" i="12"/>
  <c r="AD29" i="16"/>
  <c r="M11" i="18"/>
  <c r="J8" i="18"/>
  <c r="X9" i="18" s="1"/>
  <c r="Y21" i="7"/>
  <c r="B37" i="7"/>
  <c r="I37" i="7" s="1"/>
  <c r="C37" i="7"/>
  <c r="D37" i="7"/>
  <c r="E37" i="7"/>
  <c r="I21" i="33"/>
  <c r="O21" i="33" s="1"/>
  <c r="D21" i="33"/>
  <c r="B20" i="36"/>
  <c r="C19" i="36"/>
  <c r="J19" i="36" s="1"/>
  <c r="O81" i="12" l="1"/>
  <c r="P81" i="12" s="1"/>
  <c r="W80" i="12"/>
  <c r="Z75" i="61"/>
  <c r="U19" i="16" s="1"/>
  <c r="AJ67" i="61"/>
  <c r="AG67" i="61"/>
  <c r="AG75" i="61" s="1"/>
  <c r="AB19" i="16" s="1"/>
  <c r="AC67" i="61"/>
  <c r="AC75" i="61" s="1"/>
  <c r="X19" i="16" s="1"/>
  <c r="AB62" i="61"/>
  <c r="AF67" i="61"/>
  <c r="AF75" i="61" s="1"/>
  <c r="AA19" i="16" s="1"/>
  <c r="AB67" i="61"/>
  <c r="AB75" i="61" s="1"/>
  <c r="W19" i="16" s="1"/>
  <c r="AI67" i="61"/>
  <c r="AI75" i="61" s="1"/>
  <c r="AD19" i="16" s="1"/>
  <c r="AE67" i="61"/>
  <c r="AE75" i="61" s="1"/>
  <c r="Z19" i="16" s="1"/>
  <c r="AA67" i="61"/>
  <c r="AA75" i="61" s="1"/>
  <c r="V19" i="16" s="1"/>
  <c r="AH67" i="61"/>
  <c r="AH75" i="61" s="1"/>
  <c r="AC19" i="16" s="1"/>
  <c r="AD67" i="61"/>
  <c r="AD75" i="61" s="1"/>
  <c r="Y19" i="16" s="1"/>
  <c r="U16" i="63"/>
  <c r="T18" i="63"/>
  <c r="U18" i="63" s="1"/>
  <c r="U20" i="63"/>
  <c r="U28" i="63"/>
  <c r="U12" i="63"/>
  <c r="U14" i="63"/>
  <c r="U36" i="63"/>
  <c r="Y35" i="18"/>
  <c r="Y13" i="18"/>
  <c r="Y19" i="18"/>
  <c r="Y11" i="18"/>
  <c r="Y27" i="18"/>
  <c r="K9" i="18"/>
  <c r="AF52" i="14"/>
  <c r="X28" i="62"/>
  <c r="D21" i="21"/>
  <c r="E21" i="21" s="1"/>
  <c r="M37" i="16"/>
  <c r="M47" i="16" s="1"/>
  <c r="M33" i="14"/>
  <c r="M31" i="14"/>
  <c r="J28" i="55"/>
  <c r="P40" i="55" s="1"/>
  <c r="J20" i="54"/>
  <c r="K40" i="16"/>
  <c r="J36" i="14"/>
  <c r="J37" i="14" s="1"/>
  <c r="J40" i="14" s="1"/>
  <c r="J41" i="14" s="1"/>
  <c r="J39" i="16"/>
  <c r="J48" i="16" s="1"/>
  <c r="J51" i="16" s="1"/>
  <c r="I20" i="35"/>
  <c r="D20" i="35"/>
  <c r="F34" i="23"/>
  <c r="T6" i="23" s="1"/>
  <c r="U6" i="23" s="1"/>
  <c r="K34" i="23"/>
  <c r="C35" i="23"/>
  <c r="J35" i="23" s="1"/>
  <c r="E35" i="23"/>
  <c r="B35" i="23"/>
  <c r="I35" i="23" s="1"/>
  <c r="S7" i="23"/>
  <c r="D35" i="23"/>
  <c r="K35" i="23" s="1"/>
  <c r="I20" i="34"/>
  <c r="O32" i="34" s="1"/>
  <c r="D20" i="34"/>
  <c r="B21" i="37"/>
  <c r="C20" i="37"/>
  <c r="J20" i="37" s="1"/>
  <c r="K36" i="56"/>
  <c r="E20" i="56"/>
  <c r="D36" i="22"/>
  <c r="K36" i="22" s="1"/>
  <c r="E36" i="22"/>
  <c r="B36" i="22"/>
  <c r="I36" i="22" s="1"/>
  <c r="C36" i="22"/>
  <c r="J36" i="22" s="1"/>
  <c r="I39" i="55"/>
  <c r="O51" i="55" s="1"/>
  <c r="D21" i="55"/>
  <c r="K30" i="55" s="1"/>
  <c r="Q42" i="55" s="1"/>
  <c r="E36" i="24"/>
  <c r="B36" i="24"/>
  <c r="I36" i="24" s="1"/>
  <c r="D36" i="24"/>
  <c r="K36" i="24" s="1"/>
  <c r="C36" i="24"/>
  <c r="J36" i="24" s="1"/>
  <c r="B22" i="32"/>
  <c r="C21" i="32"/>
  <c r="J21" i="32" s="1"/>
  <c r="D21" i="48"/>
  <c r="I21" i="48"/>
  <c r="O21" i="48" s="1"/>
  <c r="D18" i="9" s="1"/>
  <c r="B21" i="53"/>
  <c r="I21" i="53" s="1"/>
  <c r="O21" i="53" s="1"/>
  <c r="D18" i="52" s="1"/>
  <c r="C20" i="53"/>
  <c r="C36" i="8"/>
  <c r="J36" i="8" s="1"/>
  <c r="D36" i="8"/>
  <c r="K36" i="8" s="1"/>
  <c r="B36" i="8"/>
  <c r="I36" i="8" s="1"/>
  <c r="E36" i="8"/>
  <c r="D21" i="54"/>
  <c r="K21" i="54" s="1"/>
  <c r="AI50" i="16"/>
  <c r="AJ66" i="12"/>
  <c r="L8" i="18"/>
  <c r="K28" i="18"/>
  <c r="K27" i="18"/>
  <c r="K32" i="18"/>
  <c r="K22" i="18"/>
  <c r="K31" i="18"/>
  <c r="K13" i="18"/>
  <c r="K14" i="18"/>
  <c r="K8" i="18"/>
  <c r="Y9" i="18" s="1"/>
  <c r="K30" i="18"/>
  <c r="AF11" i="20"/>
  <c r="K16" i="18"/>
  <c r="K43" i="18"/>
  <c r="K26" i="18"/>
  <c r="K11" i="18"/>
  <c r="K20" i="18"/>
  <c r="K24" i="18"/>
  <c r="K15" i="18"/>
  <c r="K10" i="18"/>
  <c r="K23" i="18"/>
  <c r="K12" i="18"/>
  <c r="K34" i="18"/>
  <c r="K29" i="18"/>
  <c r="K42" i="18"/>
  <c r="K36" i="18"/>
  <c r="K21" i="18"/>
  <c r="K19" i="18"/>
  <c r="AB125" i="12"/>
  <c r="AC118" i="12"/>
  <c r="AC123" i="12"/>
  <c r="AC117" i="12"/>
  <c r="AC121" i="12"/>
  <c r="AC120" i="12"/>
  <c r="AC119" i="12"/>
  <c r="AC122" i="12"/>
  <c r="AC116" i="12"/>
  <c r="AE18" i="16"/>
  <c r="AF18" i="16" s="1"/>
  <c r="AF13" i="16"/>
  <c r="AK38" i="61"/>
  <c r="AJ49" i="61"/>
  <c r="P11" i="18"/>
  <c r="P8" i="18" s="1"/>
  <c r="Q9" i="18" s="1"/>
  <c r="M8" i="18"/>
  <c r="N9" i="18" s="1"/>
  <c r="Z125" i="12"/>
  <c r="AC90" i="61"/>
  <c r="AF21" i="14"/>
  <c r="G25" i="18" s="1"/>
  <c r="T47" i="63" s="1"/>
  <c r="U47" i="63" s="1"/>
  <c r="AE29" i="16"/>
  <c r="X125" i="12"/>
  <c r="G12" i="16"/>
  <c r="AE12" i="14"/>
  <c r="AK41" i="61"/>
  <c r="K21" i="33"/>
  <c r="Q21" i="33" s="1"/>
  <c r="R21" i="33" s="1"/>
  <c r="E21" i="33"/>
  <c r="J37" i="7"/>
  <c r="I20" i="36"/>
  <c r="D20" i="36"/>
  <c r="D38" i="7"/>
  <c r="K38" i="7" s="1"/>
  <c r="E38" i="7"/>
  <c r="C38" i="7"/>
  <c r="J38" i="7" s="1"/>
  <c r="B38" i="7"/>
  <c r="K37" i="7"/>
  <c r="X80" i="12" l="1"/>
  <c r="W81" i="12"/>
  <c r="AK67" i="61"/>
  <c r="K21" i="21"/>
  <c r="Q21" i="21" s="1"/>
  <c r="F19" i="6" s="1"/>
  <c r="M41" i="16" s="1"/>
  <c r="C21" i="21"/>
  <c r="J21" i="21" s="1"/>
  <c r="P21" i="21" s="1"/>
  <c r="E19" i="6" s="1"/>
  <c r="B22" i="21"/>
  <c r="I22" i="21" s="1"/>
  <c r="O22" i="21" s="1"/>
  <c r="M34" i="14"/>
  <c r="J20" i="53"/>
  <c r="P20" i="53" s="1"/>
  <c r="E20" i="35"/>
  <c r="K20" i="35"/>
  <c r="B36" i="23"/>
  <c r="I36" i="23" s="1"/>
  <c r="E36" i="23"/>
  <c r="D36" i="23"/>
  <c r="K36" i="23" s="1"/>
  <c r="C36" i="23"/>
  <c r="J36" i="23" s="1"/>
  <c r="K20" i="34"/>
  <c r="Q32" i="34" s="1"/>
  <c r="R32" i="34" s="1"/>
  <c r="E20" i="34"/>
  <c r="D21" i="37"/>
  <c r="I21" i="37"/>
  <c r="B21" i="56"/>
  <c r="C20" i="56"/>
  <c r="J36" i="56" s="1"/>
  <c r="K39" i="55"/>
  <c r="Q51" i="55" s="1"/>
  <c r="E21" i="55"/>
  <c r="E37" i="22"/>
  <c r="C37" i="22"/>
  <c r="J37" i="22" s="1"/>
  <c r="B37" i="22"/>
  <c r="I37" i="22" s="1"/>
  <c r="D37" i="22"/>
  <c r="K37" i="22" s="1"/>
  <c r="E37" i="24"/>
  <c r="D37" i="24"/>
  <c r="K37" i="24" s="1"/>
  <c r="B37" i="24"/>
  <c r="I37" i="24" s="1"/>
  <c r="C37" i="24"/>
  <c r="J37" i="24" s="1"/>
  <c r="AI54" i="62"/>
  <c r="Q15" i="18"/>
  <c r="Q30" i="18"/>
  <c r="Q12" i="18"/>
  <c r="I22" i="32"/>
  <c r="D22" i="32"/>
  <c r="AJ11" i="20"/>
  <c r="Q23" i="18"/>
  <c r="Q36" i="18"/>
  <c r="Q29" i="18"/>
  <c r="Q11" i="18"/>
  <c r="Q14" i="18"/>
  <c r="Q22" i="18"/>
  <c r="Q28" i="18"/>
  <c r="Q19" i="18"/>
  <c r="Q8" i="18"/>
  <c r="AD9" i="18" s="1"/>
  <c r="AC9" i="18"/>
  <c r="AD19" i="18" s="1"/>
  <c r="Q27" i="18"/>
  <c r="Q10" i="18"/>
  <c r="Q24" i="18"/>
  <c r="Q13" i="18"/>
  <c r="Q43" i="18"/>
  <c r="Q26" i="18"/>
  <c r="Q34" i="18"/>
  <c r="Q32" i="18"/>
  <c r="Q16" i="18"/>
  <c r="Q42" i="18"/>
  <c r="Q20" i="18"/>
  <c r="Q31" i="18"/>
  <c r="Q21" i="18"/>
  <c r="R8" i="18"/>
  <c r="AJ14" i="20" s="1"/>
  <c r="E21" i="54"/>
  <c r="D21" i="53"/>
  <c r="K21" i="53" s="1"/>
  <c r="Q21" i="53" s="1"/>
  <c r="F18" i="52" s="1"/>
  <c r="B37" i="8"/>
  <c r="I37" i="8" s="1"/>
  <c r="D37" i="8"/>
  <c r="K37" i="8" s="1"/>
  <c r="C37" i="8"/>
  <c r="J37" i="8" s="1"/>
  <c r="E37" i="8"/>
  <c r="K21" i="48"/>
  <c r="Q21" i="48" s="1"/>
  <c r="E21" i="48"/>
  <c r="G52" i="16"/>
  <c r="G54" i="16" s="1"/>
  <c r="AF29" i="16"/>
  <c r="AF12" i="14"/>
  <c r="G17" i="18" s="1"/>
  <c r="AE13" i="14"/>
  <c r="AC91" i="61"/>
  <c r="I25" i="18"/>
  <c r="H25" i="18"/>
  <c r="J25" i="18"/>
  <c r="X46" i="18" s="1"/>
  <c r="Y46" i="18" s="1"/>
  <c r="AH11" i="20"/>
  <c r="N27" i="18"/>
  <c r="N43" i="18"/>
  <c r="N23" i="18"/>
  <c r="N32" i="18"/>
  <c r="N31" i="18"/>
  <c r="N12" i="18"/>
  <c r="N34" i="18"/>
  <c r="N22" i="18"/>
  <c r="N28" i="18"/>
  <c r="N24" i="18"/>
  <c r="N30" i="18"/>
  <c r="N16" i="18"/>
  <c r="N10" i="18"/>
  <c r="N13" i="18"/>
  <c r="N19" i="18"/>
  <c r="N36" i="18"/>
  <c r="O8" i="18"/>
  <c r="N8" i="18"/>
  <c r="AB9" i="18" s="1"/>
  <c r="AA9" i="18"/>
  <c r="N20" i="18"/>
  <c r="N26" i="18"/>
  <c r="N21" i="18"/>
  <c r="N11" i="18"/>
  <c r="N15" i="18"/>
  <c r="N42" i="18"/>
  <c r="N29" i="18"/>
  <c r="N14" i="18"/>
  <c r="AK49" i="61"/>
  <c r="AJ66" i="61"/>
  <c r="AC125" i="12"/>
  <c r="AF14" i="20"/>
  <c r="L17" i="18"/>
  <c r="K20" i="36"/>
  <c r="E20" i="36"/>
  <c r="B22" i="33"/>
  <c r="C21" i="33"/>
  <c r="J21" i="33" s="1"/>
  <c r="P21" i="33" s="1"/>
  <c r="I38" i="7"/>
  <c r="B39" i="7"/>
  <c r="I39" i="7" s="1"/>
  <c r="E39" i="7"/>
  <c r="C39" i="7"/>
  <c r="J39" i="7" s="1"/>
  <c r="D39" i="7"/>
  <c r="Y80" i="12" l="1"/>
  <c r="X81" i="12"/>
  <c r="D22" i="21"/>
  <c r="C22" i="21" s="1"/>
  <c r="J22" i="21" s="1"/>
  <c r="P22" i="21" s="1"/>
  <c r="D20" i="6"/>
  <c r="O3" i="21"/>
  <c r="G11" i="21" s="1"/>
  <c r="G23" i="21" s="1"/>
  <c r="G35" i="21" s="1"/>
  <c r="G47" i="21" s="1"/>
  <c r="G59" i="21" s="1"/>
  <c r="E17" i="52"/>
  <c r="K35" i="14" s="1"/>
  <c r="F18" i="9"/>
  <c r="L40" i="16" s="1"/>
  <c r="R21" i="48"/>
  <c r="C20" i="35"/>
  <c r="J20" i="35" s="1"/>
  <c r="B21" i="35"/>
  <c r="B37" i="23"/>
  <c r="I37" i="23" s="1"/>
  <c r="E37" i="23"/>
  <c r="C37" i="23"/>
  <c r="J37" i="23" s="1"/>
  <c r="D37" i="23"/>
  <c r="K37" i="23" s="1"/>
  <c r="B21" i="34"/>
  <c r="C20" i="34"/>
  <c r="J20" i="34" s="1"/>
  <c r="P32" i="34" s="1"/>
  <c r="K21" i="37"/>
  <c r="E21" i="37"/>
  <c r="I39" i="56"/>
  <c r="D21" i="56"/>
  <c r="E38" i="24"/>
  <c r="C38" i="24"/>
  <c r="J38" i="24" s="1"/>
  <c r="B38" i="24"/>
  <c r="I38" i="24" s="1"/>
  <c r="D38" i="24"/>
  <c r="K38" i="24" s="1"/>
  <c r="B38" i="22"/>
  <c r="I38" i="22" s="1"/>
  <c r="C38" i="22"/>
  <c r="J38" i="22" s="1"/>
  <c r="D38" i="22"/>
  <c r="K38" i="22" s="1"/>
  <c r="E38" i="22"/>
  <c r="B22" i="55"/>
  <c r="I32" i="55" s="1"/>
  <c r="O44" i="55" s="1"/>
  <c r="C21" i="55"/>
  <c r="AF57" i="62"/>
  <c r="Y31" i="62" s="1"/>
  <c r="R17" i="18"/>
  <c r="K22" i="32"/>
  <c r="E22" i="32"/>
  <c r="AD35" i="18"/>
  <c r="AD11" i="18"/>
  <c r="AD27" i="18"/>
  <c r="AD13" i="18"/>
  <c r="B22" i="48"/>
  <c r="C21" i="48"/>
  <c r="J21" i="48" s="1"/>
  <c r="P21" i="48" s="1"/>
  <c r="E18" i="9" s="1"/>
  <c r="E21" i="53"/>
  <c r="B22" i="54"/>
  <c r="I22" i="54" s="1"/>
  <c r="C21" i="54"/>
  <c r="B38" i="8"/>
  <c r="I38" i="8" s="1"/>
  <c r="C38" i="8"/>
  <c r="J38" i="8" s="1"/>
  <c r="D38" i="8"/>
  <c r="K38" i="8" s="1"/>
  <c r="E38" i="8"/>
  <c r="AJ75" i="61"/>
  <c r="AE19" i="16" s="1"/>
  <c r="AK66" i="61"/>
  <c r="AK75" i="61" s="1"/>
  <c r="AL76" i="61" s="1"/>
  <c r="F35" i="19" s="1"/>
  <c r="M25" i="18"/>
  <c r="K25" i="18"/>
  <c r="AF13" i="14"/>
  <c r="AF56" i="62" s="1"/>
  <c r="AI52" i="62" s="1"/>
  <c r="AB11" i="18"/>
  <c r="AB27" i="18"/>
  <c r="AB13" i="18"/>
  <c r="AB35" i="18"/>
  <c r="AB19" i="18"/>
  <c r="AC92" i="61"/>
  <c r="AH14" i="20"/>
  <c r="O17" i="18"/>
  <c r="J17" i="18"/>
  <c r="X15" i="18" s="1"/>
  <c r="H17" i="18"/>
  <c r="G18" i="18"/>
  <c r="Q13" i="64" s="1"/>
  <c r="I17" i="18"/>
  <c r="H12" i="16"/>
  <c r="B21" i="36"/>
  <c r="C20" i="36"/>
  <c r="J20" i="36" s="1"/>
  <c r="C40" i="7"/>
  <c r="E40" i="7"/>
  <c r="D40" i="7"/>
  <c r="K40" i="7" s="1"/>
  <c r="B40" i="7"/>
  <c r="I40" i="7" s="1"/>
  <c r="K39" i="7"/>
  <c r="D22" i="33"/>
  <c r="I22" i="33"/>
  <c r="O22" i="33" s="1"/>
  <c r="Z80" i="12" l="1"/>
  <c r="Y81" i="12"/>
  <c r="Y15" i="18"/>
  <c r="X17" i="18"/>
  <c r="X42" i="62"/>
  <c r="X44" i="62" s="1"/>
  <c r="E20" i="6"/>
  <c r="J9" i="6" s="1"/>
  <c r="P3" i="21"/>
  <c r="N29" i="14"/>
  <c r="I9" i="6"/>
  <c r="K22" i="21"/>
  <c r="Q22" i="21" s="1"/>
  <c r="F22" i="21"/>
  <c r="E22" i="21"/>
  <c r="J39" i="55"/>
  <c r="P51" i="55" s="1"/>
  <c r="J30" i="55"/>
  <c r="P42" i="55" s="1"/>
  <c r="J21" i="54"/>
  <c r="K39" i="16"/>
  <c r="K48" i="16" s="1"/>
  <c r="K51" i="16" s="1"/>
  <c r="K36" i="14"/>
  <c r="K37" i="14" s="1"/>
  <c r="K40" i="14" s="1"/>
  <c r="K41" i="14" s="1"/>
  <c r="D21" i="35"/>
  <c r="I21" i="35"/>
  <c r="C38" i="23"/>
  <c r="J38" i="23" s="1"/>
  <c r="B38" i="23"/>
  <c r="I38" i="23" s="1"/>
  <c r="E38" i="23"/>
  <c r="D38" i="23"/>
  <c r="K38" i="23" s="1"/>
  <c r="D21" i="34"/>
  <c r="I21" i="34"/>
  <c r="O33" i="34" s="1"/>
  <c r="B22" i="37"/>
  <c r="C21" i="37"/>
  <c r="J21" i="37" s="1"/>
  <c r="K39" i="56"/>
  <c r="E21" i="56"/>
  <c r="E39" i="22"/>
  <c r="C39" i="22"/>
  <c r="J39" i="22" s="1"/>
  <c r="D39" i="22"/>
  <c r="K39" i="22" s="1"/>
  <c r="B39" i="22"/>
  <c r="I39" i="22" s="1"/>
  <c r="D22" i="55"/>
  <c r="K32" i="55" s="1"/>
  <c r="Q44" i="55" s="1"/>
  <c r="D39" i="24"/>
  <c r="K39" i="24" s="1"/>
  <c r="B39" i="24"/>
  <c r="I39" i="24" s="1"/>
  <c r="C39" i="24"/>
  <c r="J39" i="24" s="1"/>
  <c r="E39" i="24"/>
  <c r="B23" i="32"/>
  <c r="C22" i="32"/>
  <c r="J22" i="32" s="1"/>
  <c r="D39" i="8"/>
  <c r="K39" i="8" s="1"/>
  <c r="E39" i="8"/>
  <c r="C39" i="8"/>
  <c r="J39" i="8" s="1"/>
  <c r="B39" i="8"/>
  <c r="I39" i="8" s="1"/>
  <c r="D22" i="54"/>
  <c r="K22" i="54" s="1"/>
  <c r="B22" i="53"/>
  <c r="I22" i="53" s="1"/>
  <c r="O22" i="53" s="1"/>
  <c r="D19" i="52" s="1"/>
  <c r="C21" i="53"/>
  <c r="I22" i="48"/>
  <c r="O22" i="48" s="1"/>
  <c r="D19" i="9" s="1"/>
  <c r="D22" i="48"/>
  <c r="P25" i="18"/>
  <c r="AA46" i="18"/>
  <c r="N25" i="18"/>
  <c r="H52" i="16"/>
  <c r="H54" i="16" s="1"/>
  <c r="H35" i="19"/>
  <c r="I18" i="18"/>
  <c r="H18" i="18"/>
  <c r="R13" i="64" s="1"/>
  <c r="J18" i="18"/>
  <c r="J47" i="18"/>
  <c r="K47" i="18" s="1"/>
  <c r="K17" i="18"/>
  <c r="M17" i="18"/>
  <c r="AF19" i="16"/>
  <c r="J40" i="7"/>
  <c r="K22" i="33"/>
  <c r="Q22" i="33" s="1"/>
  <c r="R22" i="33" s="1"/>
  <c r="E22" i="33"/>
  <c r="D21" i="36"/>
  <c r="I21" i="36"/>
  <c r="D41" i="7"/>
  <c r="E41" i="7"/>
  <c r="C41" i="7"/>
  <c r="J41" i="7" s="1"/>
  <c r="B41" i="7"/>
  <c r="I41" i="7" s="1"/>
  <c r="AA80" i="12" l="1"/>
  <c r="Z81" i="12"/>
  <c r="Y17" i="18"/>
  <c r="F20" i="6"/>
  <c r="Q3" i="21"/>
  <c r="B23" i="21"/>
  <c r="I23" i="21" s="1"/>
  <c r="O23" i="21" s="1"/>
  <c r="N37" i="16"/>
  <c r="N33" i="14"/>
  <c r="N31" i="14"/>
  <c r="O29" i="14"/>
  <c r="D33" i="18" s="1"/>
  <c r="Q22" i="63" s="1"/>
  <c r="J21" i="53"/>
  <c r="P21" i="53" s="1"/>
  <c r="E18" i="52" s="1"/>
  <c r="E21" i="35"/>
  <c r="K21" i="35"/>
  <c r="B39" i="23"/>
  <c r="I39" i="23" s="1"/>
  <c r="D39" i="23"/>
  <c r="K39" i="23" s="1"/>
  <c r="E39" i="23"/>
  <c r="C39" i="23"/>
  <c r="J39" i="23" s="1"/>
  <c r="K21" i="34"/>
  <c r="Q33" i="34" s="1"/>
  <c r="R33" i="34" s="1"/>
  <c r="E21" i="34"/>
  <c r="I22" i="37"/>
  <c r="D22" i="37"/>
  <c r="B22" i="56"/>
  <c r="C21" i="56"/>
  <c r="J39" i="56" s="1"/>
  <c r="B40" i="24"/>
  <c r="I40" i="24" s="1"/>
  <c r="D40" i="24"/>
  <c r="K40" i="24" s="1"/>
  <c r="C40" i="24"/>
  <c r="J40" i="24" s="1"/>
  <c r="E40" i="24"/>
  <c r="E22" i="55"/>
  <c r="C40" i="22"/>
  <c r="J40" i="22" s="1"/>
  <c r="D40" i="22"/>
  <c r="K40" i="22" s="1"/>
  <c r="B40" i="22"/>
  <c r="I40" i="22" s="1"/>
  <c r="E40" i="22"/>
  <c r="I23" i="32"/>
  <c r="D23" i="32"/>
  <c r="K22" i="48"/>
  <c r="Q22" i="48" s="1"/>
  <c r="E22" i="48"/>
  <c r="D22" i="53"/>
  <c r="K22" i="53" s="1"/>
  <c r="Q22" i="53" s="1"/>
  <c r="F19" i="52" s="1"/>
  <c r="E40" i="8"/>
  <c r="B40" i="8"/>
  <c r="I40" i="8" s="1"/>
  <c r="D40" i="8"/>
  <c r="K40" i="8" s="1"/>
  <c r="C40" i="8"/>
  <c r="J40" i="8" s="1"/>
  <c r="E22" i="54"/>
  <c r="H16" i="19"/>
  <c r="I12" i="16"/>
  <c r="J35" i="19"/>
  <c r="N26" i="20"/>
  <c r="K18" i="18"/>
  <c r="AG16" i="20" s="1"/>
  <c r="AF16" i="20"/>
  <c r="L18" i="18"/>
  <c r="Q25" i="18"/>
  <c r="AC46" i="18"/>
  <c r="M18" i="18"/>
  <c r="N17" i="18"/>
  <c r="AA15" i="18"/>
  <c r="M47" i="18"/>
  <c r="P17" i="18"/>
  <c r="AB46" i="18"/>
  <c r="B42" i="7"/>
  <c r="I42" i="7" s="1"/>
  <c r="C42" i="7"/>
  <c r="J42" i="7" s="1"/>
  <c r="E42" i="7"/>
  <c r="D42" i="7"/>
  <c r="K42" i="7" s="1"/>
  <c r="K21" i="36"/>
  <c r="E21" i="36"/>
  <c r="K41" i="7"/>
  <c r="B23" i="33"/>
  <c r="C22" i="33"/>
  <c r="J22" i="33" s="1"/>
  <c r="P22" i="33" s="1"/>
  <c r="AB80" i="12" l="1"/>
  <c r="AA81" i="12"/>
  <c r="Q24" i="63"/>
  <c r="R22" i="63"/>
  <c r="D23" i="21"/>
  <c r="E23" i="21" s="1"/>
  <c r="N34" i="14"/>
  <c r="O34" i="14" s="1"/>
  <c r="D38" i="18" s="1"/>
  <c r="N17" i="64" s="1"/>
  <c r="O33" i="14"/>
  <c r="D37" i="18" s="1"/>
  <c r="N41" i="16"/>
  <c r="O41" i="16" s="1"/>
  <c r="K9" i="6"/>
  <c r="O37" i="16"/>
  <c r="N47" i="16"/>
  <c r="E33" i="18"/>
  <c r="E52" i="18" s="1"/>
  <c r="L51" i="14" s="1"/>
  <c r="O31" i="14"/>
  <c r="D21" i="6"/>
  <c r="R3" i="21"/>
  <c r="L35" i="14"/>
  <c r="F19" i="9"/>
  <c r="M40" i="16" s="1"/>
  <c r="R22" i="48"/>
  <c r="C21" i="35"/>
  <c r="J21" i="35" s="1"/>
  <c r="B22" i="35"/>
  <c r="C40" i="23"/>
  <c r="J40" i="23" s="1"/>
  <c r="B40" i="23"/>
  <c r="I40" i="23" s="1"/>
  <c r="D40" i="23"/>
  <c r="K40" i="23" s="1"/>
  <c r="E40" i="23"/>
  <c r="B22" i="34"/>
  <c r="C21" i="34"/>
  <c r="J21" i="34" s="1"/>
  <c r="P33" i="34" s="1"/>
  <c r="E22" i="37"/>
  <c r="K22" i="37"/>
  <c r="I42" i="56"/>
  <c r="D22" i="56"/>
  <c r="C41" i="24"/>
  <c r="J41" i="24" s="1"/>
  <c r="B41" i="24"/>
  <c r="I41" i="24" s="1"/>
  <c r="E41" i="24"/>
  <c r="D41" i="24"/>
  <c r="K41" i="24" s="1"/>
  <c r="B41" i="22"/>
  <c r="I41" i="22" s="1"/>
  <c r="D41" i="22"/>
  <c r="K41" i="22" s="1"/>
  <c r="C41" i="22"/>
  <c r="J41" i="22" s="1"/>
  <c r="E41" i="22"/>
  <c r="B23" i="55"/>
  <c r="I34" i="55" s="1"/>
  <c r="O46" i="55" s="1"/>
  <c r="O5" i="55" s="1"/>
  <c r="C22" i="55"/>
  <c r="F23" i="32"/>
  <c r="K23" i="32"/>
  <c r="E23" i="32"/>
  <c r="AA17" i="18"/>
  <c r="H114" i="4"/>
  <c r="C22" i="54"/>
  <c r="B23" i="54"/>
  <c r="I23" i="54" s="1"/>
  <c r="E22" i="53"/>
  <c r="B41" i="8"/>
  <c r="I41" i="8" s="1"/>
  <c r="D41" i="8"/>
  <c r="E41" i="8"/>
  <c r="C41" i="8"/>
  <c r="J41" i="8" s="1"/>
  <c r="B23" i="48"/>
  <c r="C22" i="48"/>
  <c r="J22" i="48" s="1"/>
  <c r="P22" i="48" s="1"/>
  <c r="E19" i="9" s="1"/>
  <c r="AC15" i="18"/>
  <c r="P18" i="18"/>
  <c r="Q17" i="18"/>
  <c r="P47" i="18"/>
  <c r="Q47" i="18" s="1"/>
  <c r="AH16" i="20"/>
  <c r="N18" i="18"/>
  <c r="AI16" i="20" s="1"/>
  <c r="O18" i="18"/>
  <c r="L35" i="19"/>
  <c r="O26" i="20"/>
  <c r="N47" i="18"/>
  <c r="J16" i="19"/>
  <c r="AD46" i="18"/>
  <c r="AB15" i="18"/>
  <c r="I52" i="16"/>
  <c r="I54" i="16" s="1"/>
  <c r="D23" i="33"/>
  <c r="I23" i="33"/>
  <c r="O23" i="33" s="1"/>
  <c r="O3" i="33" s="1"/>
  <c r="G12" i="33" s="1"/>
  <c r="G24" i="33" s="1"/>
  <c r="G36" i="33" s="1"/>
  <c r="G48" i="33" s="1"/>
  <c r="G60" i="33" s="1"/>
  <c r="B22" i="36"/>
  <c r="C21" i="36"/>
  <c r="J21" i="36" s="1"/>
  <c r="D43" i="7"/>
  <c r="B43" i="7"/>
  <c r="I43" i="7" s="1"/>
  <c r="C43" i="7"/>
  <c r="J43" i="7" s="1"/>
  <c r="E43" i="7"/>
  <c r="AC80" i="12" l="1"/>
  <c r="AB81" i="12"/>
  <c r="R24" i="63"/>
  <c r="Q26" i="63"/>
  <c r="B24" i="21"/>
  <c r="I24" i="21" s="1"/>
  <c r="O24" i="21" s="1"/>
  <c r="D22" i="6" s="1"/>
  <c r="U29" i="14" s="1"/>
  <c r="U37" i="16" s="1"/>
  <c r="U47" i="16" s="1"/>
  <c r="K23" i="21"/>
  <c r="Q23" i="21" s="1"/>
  <c r="F21" i="6" s="1"/>
  <c r="C23" i="21"/>
  <c r="J23" i="21" s="1"/>
  <c r="P23" i="21" s="1"/>
  <c r="E21" i="6" s="1"/>
  <c r="T29" i="14"/>
  <c r="V11" i="7"/>
  <c r="L9" i="6"/>
  <c r="D42" i="19" s="1"/>
  <c r="O47" i="16"/>
  <c r="P49" i="16"/>
  <c r="E37" i="18"/>
  <c r="D35" i="18"/>
  <c r="N15" i="64" s="1"/>
  <c r="E38" i="18"/>
  <c r="O17" i="64" s="1"/>
  <c r="J32" i="55"/>
  <c r="P44" i="55" s="1"/>
  <c r="J22" i="54"/>
  <c r="L36" i="14"/>
  <c r="L37" i="14" s="1"/>
  <c r="L40" i="14" s="1"/>
  <c r="L41" i="14" s="1"/>
  <c r="L39" i="16"/>
  <c r="L48" i="16" s="1"/>
  <c r="L51" i="16" s="1"/>
  <c r="I22" i="35"/>
  <c r="D22" i="35"/>
  <c r="E41" i="23"/>
  <c r="C41" i="23"/>
  <c r="J41" i="23" s="1"/>
  <c r="D41" i="23"/>
  <c r="K41" i="23" s="1"/>
  <c r="B41" i="23"/>
  <c r="I41" i="23" s="1"/>
  <c r="I22" i="34"/>
  <c r="O34" i="34" s="1"/>
  <c r="D22" i="34"/>
  <c r="C22" i="37"/>
  <c r="J22" i="37" s="1"/>
  <c r="B23" i="37"/>
  <c r="K42" i="56"/>
  <c r="E22" i="56"/>
  <c r="E42" i="22"/>
  <c r="D42" i="22"/>
  <c r="K42" i="22" s="1"/>
  <c r="C42" i="22"/>
  <c r="J42" i="22" s="1"/>
  <c r="B42" i="22"/>
  <c r="I42" i="22" s="1"/>
  <c r="B42" i="24"/>
  <c r="I42" i="24" s="1"/>
  <c r="D42" i="24"/>
  <c r="K42" i="24" s="1"/>
  <c r="C42" i="24"/>
  <c r="J42" i="24" s="1"/>
  <c r="E42" i="24"/>
  <c r="D23" i="55"/>
  <c r="K34" i="55" s="1"/>
  <c r="Q46" i="55" s="1"/>
  <c r="Q5" i="55" s="1"/>
  <c r="I45" i="55"/>
  <c r="O57" i="55" s="1"/>
  <c r="B24" i="32"/>
  <c r="C23" i="32"/>
  <c r="J23" i="32" s="1"/>
  <c r="AB17" i="18"/>
  <c r="AC17" i="18"/>
  <c r="B42" i="8"/>
  <c r="I42" i="8" s="1"/>
  <c r="D42" i="8"/>
  <c r="K42" i="8" s="1"/>
  <c r="E42" i="8"/>
  <c r="C42" i="8"/>
  <c r="J42" i="8" s="1"/>
  <c r="K41" i="8"/>
  <c r="D23" i="54"/>
  <c r="K23" i="54" s="1"/>
  <c r="D23" i="48"/>
  <c r="I23" i="48"/>
  <c r="O23" i="48" s="1"/>
  <c r="B23" i="53"/>
  <c r="I23" i="53" s="1"/>
  <c r="O23" i="53" s="1"/>
  <c r="C22" i="53"/>
  <c r="J12" i="16"/>
  <c r="P26" i="20"/>
  <c r="Q18" i="18"/>
  <c r="AK16" i="20" s="1"/>
  <c r="R18" i="18"/>
  <c r="AJ16" i="20"/>
  <c r="J114" i="4"/>
  <c r="L16" i="19"/>
  <c r="AD15" i="18"/>
  <c r="K43" i="7"/>
  <c r="D22" i="36"/>
  <c r="I22" i="36"/>
  <c r="D44" i="7"/>
  <c r="K44" i="7" s="1"/>
  <c r="C44" i="7"/>
  <c r="J44" i="7" s="1"/>
  <c r="E44" i="7"/>
  <c r="B44" i="7"/>
  <c r="I44" i="7" s="1"/>
  <c r="K23" i="33"/>
  <c r="Q23" i="33" s="1"/>
  <c r="F23" i="33"/>
  <c r="E23" i="33"/>
  <c r="AD80" i="12" l="1"/>
  <c r="AC81" i="12"/>
  <c r="Q30" i="63"/>
  <c r="R30" i="63" s="1"/>
  <c r="R26" i="63"/>
  <c r="U31" i="14"/>
  <c r="U33" i="14"/>
  <c r="U34" i="14" s="1"/>
  <c r="D24" i="21"/>
  <c r="C24" i="21" s="1"/>
  <c r="J24" i="21" s="1"/>
  <c r="P24" i="21" s="1"/>
  <c r="E22" i="6" s="1"/>
  <c r="E35" i="18"/>
  <c r="O15" i="64" s="1"/>
  <c r="T37" i="16"/>
  <c r="T47" i="16" s="1"/>
  <c r="T33" i="14"/>
  <c r="T34" i="14" s="1"/>
  <c r="T31" i="14"/>
  <c r="T49" i="16"/>
  <c r="D17" i="19"/>
  <c r="T41" i="16"/>
  <c r="R5" i="55"/>
  <c r="Q3" i="33"/>
  <c r="S23" i="33"/>
  <c r="R23" i="33"/>
  <c r="J22" i="53"/>
  <c r="P22" i="53" s="1"/>
  <c r="E19" i="52" s="1"/>
  <c r="D20" i="52"/>
  <c r="I9" i="52" s="1"/>
  <c r="O3" i="53"/>
  <c r="D20" i="9"/>
  <c r="I9" i="9" s="1"/>
  <c r="O3" i="48"/>
  <c r="G12" i="48" s="1"/>
  <c r="G24" i="48" s="1"/>
  <c r="G36" i="48" s="1"/>
  <c r="G48" i="48" s="1"/>
  <c r="G60" i="48" s="1"/>
  <c r="K22" i="35"/>
  <c r="E22" i="35"/>
  <c r="C42" i="23"/>
  <c r="J42" i="23" s="1"/>
  <c r="D42" i="23"/>
  <c r="K42" i="23" s="1"/>
  <c r="E42" i="23"/>
  <c r="B42" i="23"/>
  <c r="I42" i="23" s="1"/>
  <c r="K22" i="34"/>
  <c r="Q34" i="34" s="1"/>
  <c r="R34" i="34" s="1"/>
  <c r="E22" i="34"/>
  <c r="I23" i="37"/>
  <c r="D23" i="37"/>
  <c r="B23" i="56"/>
  <c r="C22" i="56"/>
  <c r="J42" i="56" s="1"/>
  <c r="E43" i="24"/>
  <c r="C43" i="24"/>
  <c r="J43" i="24" s="1"/>
  <c r="B43" i="24"/>
  <c r="I43" i="24" s="1"/>
  <c r="D43" i="24"/>
  <c r="K43" i="24" s="1"/>
  <c r="K45" i="55"/>
  <c r="Q57" i="55" s="1"/>
  <c r="E23" i="55"/>
  <c r="D43" i="22"/>
  <c r="K43" i="22" s="1"/>
  <c r="B43" i="22"/>
  <c r="I43" i="22" s="1"/>
  <c r="C43" i="22"/>
  <c r="J43" i="22" s="1"/>
  <c r="E43" i="22"/>
  <c r="I24" i="32"/>
  <c r="D24" i="32"/>
  <c r="AD17" i="18"/>
  <c r="K23" i="48"/>
  <c r="Q23" i="48" s="1"/>
  <c r="F23" i="48"/>
  <c r="E23" i="48"/>
  <c r="C43" i="8"/>
  <c r="J43" i="8" s="1"/>
  <c r="E43" i="8"/>
  <c r="B43" i="8"/>
  <c r="I43" i="8" s="1"/>
  <c r="D43" i="8"/>
  <c r="E23" i="54"/>
  <c r="D23" i="53"/>
  <c r="K23" i="53" s="1"/>
  <c r="Q23" i="53" s="1"/>
  <c r="J52" i="16"/>
  <c r="J54" i="16" s="1"/>
  <c r="K114" i="4"/>
  <c r="K22" i="36"/>
  <c r="E22" i="36"/>
  <c r="B24" i="33"/>
  <c r="C23" i="33"/>
  <c r="J23" i="33" s="1"/>
  <c r="P23" i="33" s="1"/>
  <c r="P3" i="33" s="1"/>
  <c r="D45" i="7"/>
  <c r="K45" i="7" s="1"/>
  <c r="E45" i="7"/>
  <c r="C45" i="7"/>
  <c r="J45" i="7" s="1"/>
  <c r="B45" i="7"/>
  <c r="I45" i="7" s="1"/>
  <c r="AE80" i="12" l="1"/>
  <c r="AD81" i="12"/>
  <c r="K24" i="21"/>
  <c r="Q24" i="21" s="1"/>
  <c r="F22" i="6" s="1"/>
  <c r="U41" i="16" s="1"/>
  <c r="E24" i="21"/>
  <c r="B25" i="21" s="1"/>
  <c r="I25" i="21" s="1"/>
  <c r="O25" i="21" s="1"/>
  <c r="D23" i="6" s="1"/>
  <c r="E115" i="4"/>
  <c r="R3" i="33"/>
  <c r="F20" i="52"/>
  <c r="K9" i="52" s="1"/>
  <c r="Q3" i="53"/>
  <c r="M35" i="14"/>
  <c r="F20" i="9"/>
  <c r="S23" i="48"/>
  <c r="Q3" i="48"/>
  <c r="R23" i="48"/>
  <c r="C22" i="35"/>
  <c r="J22" i="35" s="1"/>
  <c r="B23" i="35"/>
  <c r="E43" i="23"/>
  <c r="C43" i="23"/>
  <c r="J43" i="23" s="1"/>
  <c r="D43" i="23"/>
  <c r="K43" i="23" s="1"/>
  <c r="B43" i="23"/>
  <c r="I43" i="23" s="1"/>
  <c r="C22" i="34"/>
  <c r="J22" i="34" s="1"/>
  <c r="P34" i="34" s="1"/>
  <c r="B23" i="34"/>
  <c r="E23" i="37"/>
  <c r="K23" i="37"/>
  <c r="F23" i="37"/>
  <c r="I45" i="56"/>
  <c r="D23" i="56"/>
  <c r="E44" i="22"/>
  <c r="C44" i="22"/>
  <c r="J44" i="22" s="1"/>
  <c r="D44" i="22"/>
  <c r="K44" i="22" s="1"/>
  <c r="B44" i="22"/>
  <c r="I44" i="22" s="1"/>
  <c r="B24" i="55"/>
  <c r="I36" i="55" s="1"/>
  <c r="O48" i="55" s="1"/>
  <c r="C23" i="55"/>
  <c r="E44" i="24"/>
  <c r="B44" i="24"/>
  <c r="I44" i="24" s="1"/>
  <c r="C44" i="24"/>
  <c r="J44" i="24" s="1"/>
  <c r="D44" i="24"/>
  <c r="K44" i="24" s="1"/>
  <c r="K24" i="32"/>
  <c r="E24" i="32"/>
  <c r="K43" i="8"/>
  <c r="B24" i="48"/>
  <c r="C23" i="48"/>
  <c r="J23" i="48" s="1"/>
  <c r="P23" i="48" s="1"/>
  <c r="E23" i="53"/>
  <c r="C23" i="54"/>
  <c r="B24" i="54"/>
  <c r="I24" i="54" s="1"/>
  <c r="B44" i="8"/>
  <c r="I44" i="8" s="1"/>
  <c r="C44" i="8"/>
  <c r="J44" i="8" s="1"/>
  <c r="D44" i="8"/>
  <c r="K44" i="8" s="1"/>
  <c r="E44" i="8"/>
  <c r="K12" i="16"/>
  <c r="B46" i="7"/>
  <c r="C46" i="7"/>
  <c r="D46" i="7"/>
  <c r="E46" i="7"/>
  <c r="D24" i="33"/>
  <c r="I24" i="33"/>
  <c r="O24" i="33" s="1"/>
  <c r="B23" i="36"/>
  <c r="C22" i="36"/>
  <c r="J22" i="36" s="1"/>
  <c r="AF80" i="12" l="1"/>
  <c r="AE81" i="12"/>
  <c r="D25" i="21"/>
  <c r="C25" i="21" s="1"/>
  <c r="J25" i="21" s="1"/>
  <c r="P25" i="21" s="1"/>
  <c r="E23" i="6" s="1"/>
  <c r="V29" i="14"/>
  <c r="J45" i="55"/>
  <c r="P57" i="55" s="1"/>
  <c r="J34" i="55"/>
  <c r="P46" i="55" s="1"/>
  <c r="P5" i="55" s="1"/>
  <c r="J23" i="54"/>
  <c r="M36" i="14"/>
  <c r="M37" i="14" s="1"/>
  <c r="M40" i="14" s="1"/>
  <c r="M41" i="14" s="1"/>
  <c r="M39" i="16"/>
  <c r="M48" i="16" s="1"/>
  <c r="M51" i="16" s="1"/>
  <c r="R3" i="53"/>
  <c r="L9" i="52" s="1"/>
  <c r="D26" i="19" s="1"/>
  <c r="E20" i="9"/>
  <c r="P3" i="48"/>
  <c r="R3" i="48"/>
  <c r="N40" i="16"/>
  <c r="O40" i="16" s="1"/>
  <c r="K9" i="9"/>
  <c r="I23" i="35"/>
  <c r="D23" i="35"/>
  <c r="B44" i="23"/>
  <c r="I44" i="23" s="1"/>
  <c r="C44" i="23"/>
  <c r="J44" i="23" s="1"/>
  <c r="D44" i="23"/>
  <c r="K44" i="23" s="1"/>
  <c r="E44" i="23"/>
  <c r="D23" i="34"/>
  <c r="I23" i="34"/>
  <c r="O35" i="34" s="1"/>
  <c r="O4" i="34" s="1"/>
  <c r="G12" i="34" s="1"/>
  <c r="G24" i="34" s="1"/>
  <c r="G36" i="34" s="1"/>
  <c r="G48" i="34" s="1"/>
  <c r="G60" i="34" s="1"/>
  <c r="B24" i="37"/>
  <c r="S7" i="37"/>
  <c r="C23" i="37"/>
  <c r="J23" i="37" s="1"/>
  <c r="K45" i="56"/>
  <c r="E23" i="56"/>
  <c r="D45" i="24"/>
  <c r="E45" i="24"/>
  <c r="C45" i="24"/>
  <c r="J45" i="24" s="1"/>
  <c r="B45" i="24"/>
  <c r="I45" i="24" s="1"/>
  <c r="D24" i="55"/>
  <c r="K36" i="55" s="1"/>
  <c r="Q48" i="55" s="1"/>
  <c r="C45" i="22"/>
  <c r="J45" i="22" s="1"/>
  <c r="E45" i="22"/>
  <c r="D45" i="22"/>
  <c r="K45" i="22" s="1"/>
  <c r="B45" i="22"/>
  <c r="I45" i="22" s="1"/>
  <c r="B25" i="32"/>
  <c r="C24" i="32"/>
  <c r="J24" i="32" s="1"/>
  <c r="I24" i="48"/>
  <c r="O24" i="48" s="1"/>
  <c r="D24" i="48"/>
  <c r="D24" i="54"/>
  <c r="K24" i="54" s="1"/>
  <c r="B45" i="8"/>
  <c r="I45" i="8" s="1"/>
  <c r="E45" i="8"/>
  <c r="D45" i="8"/>
  <c r="K45" i="8" s="1"/>
  <c r="C45" i="8"/>
  <c r="J45" i="8" s="1"/>
  <c r="B24" i="53"/>
  <c r="I24" i="53" s="1"/>
  <c r="O24" i="53" s="1"/>
  <c r="C23" i="53"/>
  <c r="K52" i="16"/>
  <c r="K54" i="16" s="1"/>
  <c r="I46" i="7"/>
  <c r="I23" i="36"/>
  <c r="D23" i="36"/>
  <c r="S5" i="7"/>
  <c r="D47" i="7"/>
  <c r="B47" i="7"/>
  <c r="C47" i="7"/>
  <c r="E47" i="7"/>
  <c r="K46" i="7"/>
  <c r="F46" i="7"/>
  <c r="T4" i="7" s="1"/>
  <c r="K24" i="33"/>
  <c r="Q24" i="33" s="1"/>
  <c r="E24" i="33"/>
  <c r="J46" i="7"/>
  <c r="AG80" i="12" l="1"/>
  <c r="AF81" i="12"/>
  <c r="E25" i="21"/>
  <c r="B26" i="21" s="1"/>
  <c r="I26" i="21" s="1"/>
  <c r="O26" i="21" s="1"/>
  <c r="K25" i="21"/>
  <c r="Q25" i="21" s="1"/>
  <c r="F23" i="6" s="1"/>
  <c r="V37" i="16"/>
  <c r="V47" i="16" s="1"/>
  <c r="W49" i="16" s="1"/>
  <c r="V31" i="14"/>
  <c r="V33" i="14"/>
  <c r="V34" i="14" s="1"/>
  <c r="R24" i="33"/>
  <c r="J23" i="53"/>
  <c r="P23" i="53" s="1"/>
  <c r="D21" i="52"/>
  <c r="D21" i="9"/>
  <c r="V11" i="32"/>
  <c r="L9" i="9"/>
  <c r="J9" i="9"/>
  <c r="E23" i="35"/>
  <c r="K23" i="35"/>
  <c r="F23" i="35"/>
  <c r="D45" i="23"/>
  <c r="K45" i="23" s="1"/>
  <c r="C45" i="23"/>
  <c r="J45" i="23" s="1"/>
  <c r="B45" i="23"/>
  <c r="I45" i="23" s="1"/>
  <c r="E45" i="23"/>
  <c r="K23" i="34"/>
  <c r="Q35" i="34" s="1"/>
  <c r="E23" i="34"/>
  <c r="F23" i="34"/>
  <c r="D24" i="37"/>
  <c r="I24" i="37"/>
  <c r="B24" i="56"/>
  <c r="C23" i="56"/>
  <c r="J45" i="56" s="1"/>
  <c r="B46" i="24"/>
  <c r="I46" i="24" s="1"/>
  <c r="E46" i="24"/>
  <c r="D46" i="24"/>
  <c r="K46" i="24" s="1"/>
  <c r="C46" i="24"/>
  <c r="J46" i="24" s="1"/>
  <c r="C46" i="22"/>
  <c r="J46" i="22" s="1"/>
  <c r="D46" i="22"/>
  <c r="E46" i="22"/>
  <c r="B46" i="22"/>
  <c r="I46" i="22" s="1"/>
  <c r="E24" i="55"/>
  <c r="K45" i="24"/>
  <c r="I25" i="32"/>
  <c r="D25" i="32"/>
  <c r="E46" i="8"/>
  <c r="C46" i="8"/>
  <c r="J46" i="8" s="1"/>
  <c r="D46" i="8"/>
  <c r="K46" i="8" s="1"/>
  <c r="B46" i="8"/>
  <c r="I46" i="8" s="1"/>
  <c r="E24" i="54"/>
  <c r="D24" i="53"/>
  <c r="K24" i="53" s="1"/>
  <c r="Q24" i="53" s="1"/>
  <c r="K24" i="48"/>
  <c r="Q24" i="48" s="1"/>
  <c r="E24" i="48"/>
  <c r="L12" i="16"/>
  <c r="B25" i="33"/>
  <c r="C24" i="33"/>
  <c r="J24" i="33" s="1"/>
  <c r="P24" i="33" s="1"/>
  <c r="I47" i="7"/>
  <c r="K47" i="7"/>
  <c r="E48" i="7"/>
  <c r="D48" i="7"/>
  <c r="K48" i="7" s="1"/>
  <c r="B48" i="7"/>
  <c r="I48" i="7" s="1"/>
  <c r="C48" i="7"/>
  <c r="J48" i="7" s="1"/>
  <c r="W23" i="7"/>
  <c r="K23" i="36"/>
  <c r="F23" i="36"/>
  <c r="E23" i="36"/>
  <c r="X22" i="7"/>
  <c r="U4" i="7"/>
  <c r="J47" i="7"/>
  <c r="AH80" i="12" l="1"/>
  <c r="AH81" i="12" s="1"/>
  <c r="AG81" i="12"/>
  <c r="Q4" i="34"/>
  <c r="S35" i="34"/>
  <c r="R35" i="34"/>
  <c r="D24" i="6"/>
  <c r="D26" i="21"/>
  <c r="C26" i="21" s="1"/>
  <c r="J26" i="21" s="1"/>
  <c r="P26" i="21" s="1"/>
  <c r="V41" i="16"/>
  <c r="E20" i="52"/>
  <c r="P3" i="53"/>
  <c r="F21" i="52"/>
  <c r="F21" i="9"/>
  <c r="R24" i="48"/>
  <c r="C23" i="35"/>
  <c r="J23" i="35" s="1"/>
  <c r="B24" i="35"/>
  <c r="D46" i="23"/>
  <c r="E46" i="23"/>
  <c r="B46" i="23"/>
  <c r="I46" i="23" s="1"/>
  <c r="C46" i="23"/>
  <c r="J46" i="23" s="1"/>
  <c r="C23" i="34"/>
  <c r="J23" i="34" s="1"/>
  <c r="P35" i="34" s="1"/>
  <c r="P4" i="34" s="1"/>
  <c r="B24" i="34"/>
  <c r="K24" i="37"/>
  <c r="E24" i="37"/>
  <c r="F46" i="24"/>
  <c r="T5" i="24" s="1"/>
  <c r="U5" i="24" s="1"/>
  <c r="F46" i="8"/>
  <c r="D24" i="56"/>
  <c r="I48" i="56"/>
  <c r="B47" i="22"/>
  <c r="I47" i="22" s="1"/>
  <c r="E47" i="22"/>
  <c r="C47" i="22"/>
  <c r="J47" i="22" s="1"/>
  <c r="D47" i="22"/>
  <c r="K47" i="22" s="1"/>
  <c r="S7" i="22"/>
  <c r="B25" i="55"/>
  <c r="I38" i="55" s="1"/>
  <c r="O50" i="55" s="1"/>
  <c r="C24" i="55"/>
  <c r="K46" i="22"/>
  <c r="F46" i="22"/>
  <c r="T6" i="22" s="1"/>
  <c r="U6" i="22" s="1"/>
  <c r="C47" i="24"/>
  <c r="J47" i="24" s="1"/>
  <c r="E47" i="24"/>
  <c r="B47" i="24"/>
  <c r="I47" i="24" s="1"/>
  <c r="S6" i="24"/>
  <c r="D47" i="24"/>
  <c r="K47" i="24" s="1"/>
  <c r="K25" i="32"/>
  <c r="E25" i="32"/>
  <c r="E24" i="53"/>
  <c r="B25" i="48"/>
  <c r="C24" i="48"/>
  <c r="J24" i="48" s="1"/>
  <c r="P24" i="48" s="1"/>
  <c r="C24" i="54"/>
  <c r="B25" i="54"/>
  <c r="I25" i="54" s="1"/>
  <c r="C47" i="8"/>
  <c r="J47" i="8" s="1"/>
  <c r="B47" i="8"/>
  <c r="I47" i="8" s="1"/>
  <c r="D47" i="8"/>
  <c r="K47" i="8" s="1"/>
  <c r="E47" i="8"/>
  <c r="L52" i="16"/>
  <c r="L54" i="16" s="1"/>
  <c r="Y22" i="7"/>
  <c r="S6" i="36"/>
  <c r="B24" i="36"/>
  <c r="C23" i="36"/>
  <c r="J23" i="36" s="1"/>
  <c r="B49" i="7"/>
  <c r="I49" i="7" s="1"/>
  <c r="D49" i="7"/>
  <c r="E49" i="7"/>
  <c r="C49" i="7"/>
  <c r="I25" i="33"/>
  <c r="O25" i="33" s="1"/>
  <c r="D25" i="33"/>
  <c r="AI81" i="12" l="1"/>
  <c r="T3" i="34"/>
  <c r="S3" i="34"/>
  <c r="R4" i="34"/>
  <c r="E24" i="6"/>
  <c r="K26" i="21"/>
  <c r="Q26" i="21" s="1"/>
  <c r="E26" i="21"/>
  <c r="W29" i="14"/>
  <c r="J36" i="55"/>
  <c r="P48" i="55" s="1"/>
  <c r="J24" i="54"/>
  <c r="J9" i="52"/>
  <c r="N35" i="14"/>
  <c r="E21" i="9"/>
  <c r="T40" i="16"/>
  <c r="D24" i="35"/>
  <c r="I24" i="35"/>
  <c r="B47" i="23"/>
  <c r="I47" i="23" s="1"/>
  <c r="D47" i="23"/>
  <c r="K47" i="23" s="1"/>
  <c r="E47" i="23"/>
  <c r="C47" i="23"/>
  <c r="J47" i="23" s="1"/>
  <c r="K46" i="23"/>
  <c r="F46" i="23"/>
  <c r="T7" i="23" s="1"/>
  <c r="U7" i="23" s="1"/>
  <c r="I24" i="34"/>
  <c r="O36" i="34" s="1"/>
  <c r="D24" i="34"/>
  <c r="B25" i="37"/>
  <c r="C24" i="37"/>
  <c r="J24" i="37" s="1"/>
  <c r="K48" i="56"/>
  <c r="E24" i="56"/>
  <c r="D48" i="24"/>
  <c r="K48" i="24" s="1"/>
  <c r="B48" i="24"/>
  <c r="I48" i="24" s="1"/>
  <c r="E48" i="24"/>
  <c r="C48" i="24"/>
  <c r="J48" i="24" s="1"/>
  <c r="I51" i="55"/>
  <c r="O63" i="55" s="1"/>
  <c r="D25" i="55"/>
  <c r="K38" i="55" s="1"/>
  <c r="Q50" i="55" s="1"/>
  <c r="B48" i="22"/>
  <c r="I48" i="22" s="1"/>
  <c r="C48" i="22"/>
  <c r="J48" i="22" s="1"/>
  <c r="D48" i="22"/>
  <c r="K48" i="22" s="1"/>
  <c r="E48" i="22"/>
  <c r="B26" i="32"/>
  <c r="C25" i="32"/>
  <c r="J25" i="32" s="1"/>
  <c r="B48" i="8"/>
  <c r="I48" i="8" s="1"/>
  <c r="C48" i="8"/>
  <c r="J48" i="8" s="1"/>
  <c r="E48" i="8"/>
  <c r="D48" i="8"/>
  <c r="K48" i="8" s="1"/>
  <c r="D25" i="54"/>
  <c r="K25" i="54" s="1"/>
  <c r="D25" i="48"/>
  <c r="I25" i="48"/>
  <c r="O25" i="48" s="1"/>
  <c r="B25" i="53"/>
  <c r="I25" i="53" s="1"/>
  <c r="O25" i="53" s="1"/>
  <c r="C24" i="53"/>
  <c r="M12" i="16"/>
  <c r="K25" i="33"/>
  <c r="Q25" i="33" s="1"/>
  <c r="E25" i="33"/>
  <c r="I24" i="36"/>
  <c r="D24" i="36"/>
  <c r="K49" i="7"/>
  <c r="J49" i="7"/>
  <c r="C50" i="7"/>
  <c r="J50" i="7" s="1"/>
  <c r="E50" i="7"/>
  <c r="B50" i="7"/>
  <c r="D50" i="7"/>
  <c r="K50" i="7" s="1"/>
  <c r="U3" i="34" l="1"/>
  <c r="F24" i="6"/>
  <c r="W37" i="16"/>
  <c r="W47" i="16" s="1"/>
  <c r="W33" i="14"/>
  <c r="W34" i="14" s="1"/>
  <c r="W31" i="14"/>
  <c r="B27" i="21"/>
  <c r="I27" i="21" s="1"/>
  <c r="O27" i="21" s="1"/>
  <c r="R25" i="33"/>
  <c r="N36" i="14"/>
  <c r="N39" i="16"/>
  <c r="O35" i="14"/>
  <c r="J24" i="53"/>
  <c r="P24" i="53" s="1"/>
  <c r="D22" i="52"/>
  <c r="D22" i="9"/>
  <c r="K24" i="35"/>
  <c r="E24" i="35"/>
  <c r="D48" i="23"/>
  <c r="K48" i="23" s="1"/>
  <c r="B48" i="23"/>
  <c r="I48" i="23" s="1"/>
  <c r="C48" i="23"/>
  <c r="J48" i="23" s="1"/>
  <c r="E48" i="23"/>
  <c r="K24" i="34"/>
  <c r="Q36" i="34" s="1"/>
  <c r="E24" i="34"/>
  <c r="I25" i="37"/>
  <c r="D25" i="37"/>
  <c r="B25" i="56"/>
  <c r="C24" i="56"/>
  <c r="J48" i="56" s="1"/>
  <c r="D49" i="22"/>
  <c r="K49" i="22" s="1"/>
  <c r="B49" i="22"/>
  <c r="I49" i="22" s="1"/>
  <c r="E49" i="22"/>
  <c r="C49" i="22"/>
  <c r="J49" i="22" s="1"/>
  <c r="E49" i="24"/>
  <c r="D49" i="24"/>
  <c r="K49" i="24" s="1"/>
  <c r="B49" i="24"/>
  <c r="I49" i="24" s="1"/>
  <c r="C49" i="24"/>
  <c r="J49" i="24" s="1"/>
  <c r="K51" i="55"/>
  <c r="Q63" i="55" s="1"/>
  <c r="E25" i="55"/>
  <c r="I26" i="32"/>
  <c r="D26" i="32"/>
  <c r="B49" i="8"/>
  <c r="I49" i="8" s="1"/>
  <c r="C49" i="8"/>
  <c r="J49" i="8" s="1"/>
  <c r="E49" i="8"/>
  <c r="D49" i="8"/>
  <c r="K49" i="8" s="1"/>
  <c r="K25" i="48"/>
  <c r="Q25" i="48" s="1"/>
  <c r="E25" i="48"/>
  <c r="D25" i="53"/>
  <c r="K25" i="53" s="1"/>
  <c r="Q25" i="53" s="1"/>
  <c r="E25" i="54"/>
  <c r="M52" i="16"/>
  <c r="M54" i="16" s="1"/>
  <c r="I50" i="7"/>
  <c r="K24" i="36"/>
  <c r="E24" i="36"/>
  <c r="B26" i="33"/>
  <c r="C25" i="33"/>
  <c r="J25" i="33" s="1"/>
  <c r="P25" i="33" s="1"/>
  <c r="E51" i="7"/>
  <c r="D51" i="7"/>
  <c r="K51" i="7" s="1"/>
  <c r="C51" i="7"/>
  <c r="J51" i="7" s="1"/>
  <c r="B51" i="7"/>
  <c r="I51" i="7" s="1"/>
  <c r="R36" i="34" l="1"/>
  <c r="D25" i="6"/>
  <c r="D27" i="21"/>
  <c r="C27" i="21" s="1"/>
  <c r="J27" i="21" s="1"/>
  <c r="P27" i="21" s="1"/>
  <c r="W41" i="16"/>
  <c r="D39" i="18"/>
  <c r="D49" i="14"/>
  <c r="C57" i="14" s="1"/>
  <c r="E21" i="52"/>
  <c r="N48" i="16"/>
  <c r="O39" i="16"/>
  <c r="F22" i="52"/>
  <c r="O36" i="14"/>
  <c r="D40" i="18" s="1"/>
  <c r="Q34" i="63" s="1"/>
  <c r="R34" i="63" s="1"/>
  <c r="N37" i="14"/>
  <c r="F22" i="9"/>
  <c r="R25" i="48"/>
  <c r="B25" i="35"/>
  <c r="C24" i="35"/>
  <c r="J24" i="35" s="1"/>
  <c r="B49" i="23"/>
  <c r="I49" i="23" s="1"/>
  <c r="D49" i="23"/>
  <c r="K49" i="23" s="1"/>
  <c r="E49" i="23"/>
  <c r="C49" i="23"/>
  <c r="J49" i="23" s="1"/>
  <c r="C24" i="34"/>
  <c r="J24" i="34" s="1"/>
  <c r="P36" i="34" s="1"/>
  <c r="B25" i="34"/>
  <c r="K25" i="37"/>
  <c r="E25" i="37"/>
  <c r="I51" i="56"/>
  <c r="D25" i="56"/>
  <c r="B26" i="55"/>
  <c r="I40" i="55" s="1"/>
  <c r="O52" i="55" s="1"/>
  <c r="C25" i="55"/>
  <c r="C50" i="22"/>
  <c r="J50" i="22" s="1"/>
  <c r="D50" i="22"/>
  <c r="K50" i="22" s="1"/>
  <c r="E50" i="22"/>
  <c r="B50" i="22"/>
  <c r="I50" i="22" s="1"/>
  <c r="E50" i="24"/>
  <c r="B50" i="24"/>
  <c r="I50" i="24" s="1"/>
  <c r="D50" i="24"/>
  <c r="K50" i="24" s="1"/>
  <c r="C50" i="24"/>
  <c r="J50" i="24" s="1"/>
  <c r="K26" i="32"/>
  <c r="E26" i="32"/>
  <c r="E25" i="53"/>
  <c r="C50" i="8"/>
  <c r="J50" i="8" s="1"/>
  <c r="B50" i="8"/>
  <c r="I50" i="8" s="1"/>
  <c r="D50" i="8"/>
  <c r="K50" i="8" s="1"/>
  <c r="E50" i="8"/>
  <c r="C25" i="54"/>
  <c r="B26" i="54"/>
  <c r="I26" i="54" s="1"/>
  <c r="B26" i="48"/>
  <c r="C25" i="48"/>
  <c r="J25" i="48" s="1"/>
  <c r="P25" i="48" s="1"/>
  <c r="N12" i="16"/>
  <c r="B25" i="36"/>
  <c r="C24" i="36"/>
  <c r="J24" i="36" s="1"/>
  <c r="D52" i="7"/>
  <c r="E52" i="7"/>
  <c r="B52" i="7"/>
  <c r="I52" i="7" s="1"/>
  <c r="C52" i="7"/>
  <c r="J52" i="7" s="1"/>
  <c r="I26" i="33"/>
  <c r="O26" i="33" s="1"/>
  <c r="D26" i="33"/>
  <c r="Q32" i="63" l="1"/>
  <c r="R32" i="63" s="1"/>
  <c r="D37" i="20"/>
  <c r="D39" i="20" s="1"/>
  <c r="K27" i="21"/>
  <c r="Q27" i="21" s="1"/>
  <c r="E27" i="21"/>
  <c r="X29" i="14"/>
  <c r="E25" i="6"/>
  <c r="J51" i="55"/>
  <c r="P63" i="55" s="1"/>
  <c r="J38" i="55"/>
  <c r="P50" i="55" s="1"/>
  <c r="J25" i="54"/>
  <c r="E40" i="18"/>
  <c r="N51" i="16"/>
  <c r="O48" i="16"/>
  <c r="E39" i="18"/>
  <c r="W19" i="64"/>
  <c r="D22" i="20"/>
  <c r="T35" i="14"/>
  <c r="N40" i="14"/>
  <c r="O37" i="14"/>
  <c r="D41" i="18" s="1"/>
  <c r="E41" i="18" s="1"/>
  <c r="L49" i="14"/>
  <c r="E22" i="9"/>
  <c r="U40" i="16"/>
  <c r="I25" i="35"/>
  <c r="D25" i="35"/>
  <c r="C50" i="23"/>
  <c r="J50" i="23" s="1"/>
  <c r="D50" i="23"/>
  <c r="K50" i="23" s="1"/>
  <c r="E50" i="23"/>
  <c r="B50" i="23"/>
  <c r="I50" i="23" s="1"/>
  <c r="D25" i="34"/>
  <c r="I25" i="34"/>
  <c r="O37" i="34" s="1"/>
  <c r="C25" i="37"/>
  <c r="J25" i="37" s="1"/>
  <c r="B26" i="37"/>
  <c r="K51" i="56"/>
  <c r="E25" i="56"/>
  <c r="C51" i="22"/>
  <c r="J51" i="22" s="1"/>
  <c r="D51" i="22"/>
  <c r="K51" i="22" s="1"/>
  <c r="E51" i="22"/>
  <c r="B51" i="22"/>
  <c r="I51" i="22" s="1"/>
  <c r="C51" i="24"/>
  <c r="J51" i="24" s="1"/>
  <c r="B51" i="24"/>
  <c r="I51" i="24" s="1"/>
  <c r="E51" i="24"/>
  <c r="D51" i="24"/>
  <c r="K51" i="24" s="1"/>
  <c r="D26" i="55"/>
  <c r="K40" i="55" s="1"/>
  <c r="Q52" i="55" s="1"/>
  <c r="B27" i="32"/>
  <c r="C26" i="32"/>
  <c r="J26" i="32" s="1"/>
  <c r="D26" i="54"/>
  <c r="K26" i="54" s="1"/>
  <c r="C51" i="8"/>
  <c r="J51" i="8" s="1"/>
  <c r="E51" i="8"/>
  <c r="D51" i="8"/>
  <c r="K51" i="8" s="1"/>
  <c r="B51" i="8"/>
  <c r="I51" i="8" s="1"/>
  <c r="B26" i="53"/>
  <c r="I26" i="53" s="1"/>
  <c r="O26" i="53" s="1"/>
  <c r="C25" i="53"/>
  <c r="D26" i="48"/>
  <c r="I26" i="48"/>
  <c r="O26" i="48" s="1"/>
  <c r="K52" i="7"/>
  <c r="K26" i="33"/>
  <c r="Q26" i="33" s="1"/>
  <c r="E26" i="33"/>
  <c r="B53" i="7"/>
  <c r="I53" i="7" s="1"/>
  <c r="C53" i="7"/>
  <c r="J53" i="7" s="1"/>
  <c r="D53" i="7"/>
  <c r="K53" i="7" s="1"/>
  <c r="E53" i="7"/>
  <c r="D25" i="36"/>
  <c r="I25" i="36"/>
  <c r="X37" i="16" l="1"/>
  <c r="X47" i="16" s="1"/>
  <c r="X33" i="14"/>
  <c r="X34" i="14" s="1"/>
  <c r="X31" i="14"/>
  <c r="B28" i="21"/>
  <c r="I28" i="21" s="1"/>
  <c r="O28" i="21" s="1"/>
  <c r="F25" i="6"/>
  <c r="R26" i="33"/>
  <c r="N52" i="16"/>
  <c r="T12" i="16" s="1"/>
  <c r="T39" i="16"/>
  <c r="T48" i="16" s="1"/>
  <c r="T51" i="16" s="1"/>
  <c r="T36" i="14"/>
  <c r="T37" i="14" s="1"/>
  <c r="T40" i="14" s="1"/>
  <c r="W21" i="64"/>
  <c r="P29" i="12"/>
  <c r="D23" i="52"/>
  <c r="J25" i="53"/>
  <c r="P25" i="53" s="1"/>
  <c r="N41" i="14"/>
  <c r="C43" i="14" s="1"/>
  <c r="O40" i="14"/>
  <c r="D23" i="9"/>
  <c r="K25" i="35"/>
  <c r="E25" i="35"/>
  <c r="C51" i="23"/>
  <c r="J51" i="23" s="1"/>
  <c r="D51" i="23"/>
  <c r="K51" i="23" s="1"/>
  <c r="E51" i="23"/>
  <c r="B51" i="23"/>
  <c r="I51" i="23" s="1"/>
  <c r="E25" i="34"/>
  <c r="K25" i="34"/>
  <c r="Q37" i="34" s="1"/>
  <c r="I26" i="37"/>
  <c r="D26" i="37"/>
  <c r="B26" i="56"/>
  <c r="C25" i="56"/>
  <c r="J51" i="56" s="1"/>
  <c r="B52" i="24"/>
  <c r="I52" i="24" s="1"/>
  <c r="E52" i="24"/>
  <c r="D52" i="24"/>
  <c r="K52" i="24" s="1"/>
  <c r="C52" i="24"/>
  <c r="J52" i="24" s="1"/>
  <c r="D52" i="22"/>
  <c r="K52" i="22" s="1"/>
  <c r="E52" i="22"/>
  <c r="C52" i="22"/>
  <c r="J52" i="22" s="1"/>
  <c r="B52" i="22"/>
  <c r="I52" i="22" s="1"/>
  <c r="E26" i="55"/>
  <c r="D27" i="32"/>
  <c r="I27" i="32"/>
  <c r="D26" i="53"/>
  <c r="K26" i="53" s="1"/>
  <c r="Q26" i="53" s="1"/>
  <c r="K26" i="48"/>
  <c r="Q26" i="48" s="1"/>
  <c r="E26" i="48"/>
  <c r="E52" i="8"/>
  <c r="B52" i="8"/>
  <c r="I52" i="8" s="1"/>
  <c r="D52" i="8"/>
  <c r="K52" i="8" s="1"/>
  <c r="C52" i="8"/>
  <c r="J52" i="8" s="1"/>
  <c r="E26" i="54"/>
  <c r="K25" i="36"/>
  <c r="E25" i="36"/>
  <c r="B27" i="33"/>
  <c r="C26" i="33"/>
  <c r="J26" i="33" s="1"/>
  <c r="P26" i="33" s="1"/>
  <c r="D54" i="7"/>
  <c r="K54" i="7" s="1"/>
  <c r="E54" i="7"/>
  <c r="B54" i="7"/>
  <c r="I54" i="7" s="1"/>
  <c r="C54" i="7"/>
  <c r="J54" i="7" s="1"/>
  <c r="R37" i="34" l="1"/>
  <c r="N54" i="16"/>
  <c r="D28" i="21"/>
  <c r="C28" i="21" s="1"/>
  <c r="J28" i="21" s="1"/>
  <c r="P28" i="21" s="1"/>
  <c r="D26" i="6"/>
  <c r="X41" i="16"/>
  <c r="D18" i="19"/>
  <c r="H43" i="14"/>
  <c r="L43" i="14" s="1"/>
  <c r="D46" i="18" s="1"/>
  <c r="D49" i="18" s="1"/>
  <c r="E22" i="52"/>
  <c r="I135" i="12"/>
  <c r="F135" i="12"/>
  <c r="J135" i="12"/>
  <c r="N135" i="12"/>
  <c r="P136" i="12"/>
  <c r="O135" i="12"/>
  <c r="D135" i="12"/>
  <c r="H135" i="12"/>
  <c r="L135" i="12"/>
  <c r="E135" i="12"/>
  <c r="M135" i="12"/>
  <c r="G135" i="12"/>
  <c r="K135" i="12"/>
  <c r="F23" i="52"/>
  <c r="D44" i="18"/>
  <c r="Q38" i="63" s="1"/>
  <c r="R38" i="63" s="1"/>
  <c r="F23" i="9"/>
  <c r="R26" i="48"/>
  <c r="T41" i="14"/>
  <c r="C25" i="35"/>
  <c r="J25" i="35" s="1"/>
  <c r="B26" i="35"/>
  <c r="D52" i="23"/>
  <c r="K52" i="23" s="1"/>
  <c r="E52" i="23"/>
  <c r="B52" i="23"/>
  <c r="I52" i="23" s="1"/>
  <c r="C52" i="23"/>
  <c r="J52" i="23" s="1"/>
  <c r="C25" i="34"/>
  <c r="J25" i="34" s="1"/>
  <c r="P37" i="34" s="1"/>
  <c r="B26" i="34"/>
  <c r="E26" i="37"/>
  <c r="K26" i="37"/>
  <c r="D26" i="56"/>
  <c r="I54" i="56"/>
  <c r="B27" i="55"/>
  <c r="I42" i="55" s="1"/>
  <c r="O54" i="55" s="1"/>
  <c r="C26" i="55"/>
  <c r="E53" i="22"/>
  <c r="B53" i="22"/>
  <c r="I53" i="22" s="1"/>
  <c r="C53" i="22"/>
  <c r="J53" i="22" s="1"/>
  <c r="D53" i="22"/>
  <c r="K53" i="22" s="1"/>
  <c r="B53" i="24"/>
  <c r="I53" i="24" s="1"/>
  <c r="C53" i="24"/>
  <c r="J53" i="24" s="1"/>
  <c r="E53" i="24"/>
  <c r="D53" i="24"/>
  <c r="K53" i="24" s="1"/>
  <c r="K27" i="32"/>
  <c r="E27" i="32"/>
  <c r="C26" i="54"/>
  <c r="B27" i="54"/>
  <c r="I27" i="54" s="1"/>
  <c r="B53" i="8"/>
  <c r="I53" i="8" s="1"/>
  <c r="E53" i="8"/>
  <c r="C53" i="8"/>
  <c r="J53" i="8" s="1"/>
  <c r="D53" i="8"/>
  <c r="K53" i="8" s="1"/>
  <c r="E26" i="53"/>
  <c r="B27" i="48"/>
  <c r="C26" i="48"/>
  <c r="J26" i="48" s="1"/>
  <c r="P26" i="48" s="1"/>
  <c r="T52" i="16"/>
  <c r="T54" i="16" s="1"/>
  <c r="D55" i="7"/>
  <c r="K55" i="7" s="1"/>
  <c r="C55" i="7"/>
  <c r="J55" i="7" s="1"/>
  <c r="E55" i="7"/>
  <c r="B55" i="7"/>
  <c r="I55" i="7" s="1"/>
  <c r="B26" i="36"/>
  <c r="C25" i="36"/>
  <c r="J25" i="36" s="1"/>
  <c r="I27" i="33"/>
  <c r="O27" i="33" s="1"/>
  <c r="D27" i="33"/>
  <c r="Q42" i="63" l="1"/>
  <c r="R42" i="63" s="1"/>
  <c r="N19" i="64"/>
  <c r="G26" i="63"/>
  <c r="D15" i="19"/>
  <c r="E26" i="6"/>
  <c r="K28" i="21"/>
  <c r="Q28" i="21" s="1"/>
  <c r="E28" i="21"/>
  <c r="Y29" i="14"/>
  <c r="J40" i="55"/>
  <c r="P52" i="55" s="1"/>
  <c r="J26" i="54"/>
  <c r="E69" i="18"/>
  <c r="E116" i="4"/>
  <c r="E118" i="4" s="1"/>
  <c r="E44" i="18"/>
  <c r="U35" i="14"/>
  <c r="H62" i="18"/>
  <c r="D25" i="19"/>
  <c r="H65" i="18"/>
  <c r="H66" i="18"/>
  <c r="H64" i="18"/>
  <c r="H63" i="18"/>
  <c r="E46" i="18"/>
  <c r="O19" i="64" s="1"/>
  <c r="N22" i="64"/>
  <c r="D45" i="18"/>
  <c r="Q40" i="63" s="1"/>
  <c r="R40" i="63" s="1"/>
  <c r="D38" i="19"/>
  <c r="E23" i="9"/>
  <c r="V40" i="16"/>
  <c r="I26" i="35"/>
  <c r="D26" i="35"/>
  <c r="B53" i="23"/>
  <c r="I53" i="23" s="1"/>
  <c r="D53" i="23"/>
  <c r="K53" i="23" s="1"/>
  <c r="E53" i="23"/>
  <c r="C53" i="23"/>
  <c r="J53" i="23" s="1"/>
  <c r="I26" i="34"/>
  <c r="O38" i="34" s="1"/>
  <c r="D26" i="34"/>
  <c r="C26" i="37"/>
  <c r="J26" i="37" s="1"/>
  <c r="B27" i="37"/>
  <c r="K54" i="56"/>
  <c r="E26" i="56"/>
  <c r="D54" i="22"/>
  <c r="K54" i="22" s="1"/>
  <c r="C54" i="22"/>
  <c r="J54" i="22" s="1"/>
  <c r="B54" i="22"/>
  <c r="I54" i="22" s="1"/>
  <c r="E54" i="22"/>
  <c r="B54" i="24"/>
  <c r="I54" i="24" s="1"/>
  <c r="D54" i="24"/>
  <c r="K54" i="24" s="1"/>
  <c r="E54" i="24"/>
  <c r="C54" i="24"/>
  <c r="J54" i="24" s="1"/>
  <c r="I57" i="55"/>
  <c r="O69" i="55" s="1"/>
  <c r="D27" i="55"/>
  <c r="K42" i="55" s="1"/>
  <c r="Q54" i="55" s="1"/>
  <c r="B28" i="32"/>
  <c r="C27" i="32"/>
  <c r="J27" i="32" s="1"/>
  <c r="B27" i="53"/>
  <c r="I27" i="53" s="1"/>
  <c r="O27" i="53" s="1"/>
  <c r="C26" i="53"/>
  <c r="I27" i="48"/>
  <c r="O27" i="48" s="1"/>
  <c r="D27" i="48"/>
  <c r="D27" i="54"/>
  <c r="K27" i="54" s="1"/>
  <c r="D54" i="8"/>
  <c r="B54" i="8"/>
  <c r="I54" i="8" s="1"/>
  <c r="E54" i="8"/>
  <c r="C54" i="8"/>
  <c r="J54" i="8" s="1"/>
  <c r="U12" i="16"/>
  <c r="B56" i="7"/>
  <c r="I56" i="7" s="1"/>
  <c r="D56" i="7"/>
  <c r="K56" i="7" s="1"/>
  <c r="E56" i="7"/>
  <c r="C56" i="7"/>
  <c r="J56" i="7" s="1"/>
  <c r="D26" i="36"/>
  <c r="I26" i="36"/>
  <c r="K27" i="33"/>
  <c r="Q27" i="33" s="1"/>
  <c r="E27" i="33"/>
  <c r="D19" i="19" l="1"/>
  <c r="G12" i="63"/>
  <c r="G14" i="63" s="1"/>
  <c r="B29" i="21"/>
  <c r="I29" i="21" s="1"/>
  <c r="O29" i="21" s="1"/>
  <c r="D27" i="6" s="1"/>
  <c r="Z29" i="14" s="1"/>
  <c r="F26" i="6"/>
  <c r="Y37" i="16"/>
  <c r="Y47" i="16" s="1"/>
  <c r="Z49" i="16" s="1"/>
  <c r="Y33" i="14"/>
  <c r="Y34" i="14" s="1"/>
  <c r="Y31" i="14"/>
  <c r="R27" i="33"/>
  <c r="F23" i="19"/>
  <c r="D24" i="52"/>
  <c r="G60" i="18"/>
  <c r="D20" i="19"/>
  <c r="G16" i="63" s="1"/>
  <c r="BD30" i="20"/>
  <c r="E49" i="18"/>
  <c r="O22" i="64" s="1"/>
  <c r="H67" i="18"/>
  <c r="F24" i="19" s="1"/>
  <c r="J26" i="53"/>
  <c r="P26" i="53" s="1"/>
  <c r="E45" i="18"/>
  <c r="Z46" i="16"/>
  <c r="AC50" i="16"/>
  <c r="AA46" i="16"/>
  <c r="AB46" i="16"/>
  <c r="U36" i="14"/>
  <c r="U37" i="14" s="1"/>
  <c r="U40" i="14" s="1"/>
  <c r="U39" i="16"/>
  <c r="U48" i="16" s="1"/>
  <c r="U51" i="16" s="1"/>
  <c r="D24" i="9"/>
  <c r="K26" i="35"/>
  <c r="E26" i="35"/>
  <c r="E54" i="23"/>
  <c r="B54" i="23"/>
  <c r="I54" i="23" s="1"/>
  <c r="D54" i="23"/>
  <c r="K54" i="23" s="1"/>
  <c r="C54" i="23"/>
  <c r="J54" i="23" s="1"/>
  <c r="K26" i="34"/>
  <c r="Q38" i="34" s="1"/>
  <c r="E26" i="34"/>
  <c r="I27" i="37"/>
  <c r="D27" i="37"/>
  <c r="B27" i="56"/>
  <c r="C26" i="56"/>
  <c r="J54" i="56" s="1"/>
  <c r="B55" i="22"/>
  <c r="I55" i="22" s="1"/>
  <c r="D55" i="22"/>
  <c r="K55" i="22" s="1"/>
  <c r="C55" i="22"/>
  <c r="J55" i="22" s="1"/>
  <c r="E55" i="22"/>
  <c r="C55" i="24"/>
  <c r="J55" i="24" s="1"/>
  <c r="D55" i="24"/>
  <c r="K55" i="24" s="1"/>
  <c r="B55" i="24"/>
  <c r="I55" i="24" s="1"/>
  <c r="E55" i="24"/>
  <c r="K57" i="55"/>
  <c r="Q69" i="55" s="1"/>
  <c r="E27" i="55"/>
  <c r="D28" i="32"/>
  <c r="I28" i="32"/>
  <c r="E27" i="54"/>
  <c r="D55" i="8"/>
  <c r="K55" i="8" s="1"/>
  <c r="C55" i="8"/>
  <c r="J55" i="8" s="1"/>
  <c r="B55" i="8"/>
  <c r="I55" i="8" s="1"/>
  <c r="E55" i="8"/>
  <c r="K54" i="8"/>
  <c r="K27" i="48"/>
  <c r="Q27" i="48" s="1"/>
  <c r="E27" i="48"/>
  <c r="D27" i="53"/>
  <c r="K27" i="53" s="1"/>
  <c r="Q27" i="53" s="1"/>
  <c r="K26" i="36"/>
  <c r="E26" i="36"/>
  <c r="B28" i="33"/>
  <c r="C27" i="33"/>
  <c r="J27" i="33" s="1"/>
  <c r="P27" i="33" s="1"/>
  <c r="D57" i="7"/>
  <c r="K57" i="7" s="1"/>
  <c r="E57" i="7"/>
  <c r="C57" i="7"/>
  <c r="J57" i="7" s="1"/>
  <c r="B57" i="7"/>
  <c r="I57" i="7" s="1"/>
  <c r="R38" i="34" l="1"/>
  <c r="E17" i="19"/>
  <c r="G15" i="64"/>
  <c r="E7" i="19"/>
  <c r="E9" i="19"/>
  <c r="E18" i="19"/>
  <c r="H26" i="63" s="1"/>
  <c r="D8" i="20"/>
  <c r="W11" i="64" s="1"/>
  <c r="E15" i="19"/>
  <c r="E16" i="19"/>
  <c r="E11" i="19"/>
  <c r="E13" i="19"/>
  <c r="E14" i="19"/>
  <c r="E10" i="19"/>
  <c r="E8" i="19"/>
  <c r="E12" i="19"/>
  <c r="Z37" i="16"/>
  <c r="Z47" i="16" s="1"/>
  <c r="Z33" i="14"/>
  <c r="Z34" i="14" s="1"/>
  <c r="Z31" i="14"/>
  <c r="D29" i="21"/>
  <c r="C29" i="21" s="1"/>
  <c r="J29" i="21" s="1"/>
  <c r="P29" i="21" s="1"/>
  <c r="E27" i="6" s="1"/>
  <c r="Y41" i="16"/>
  <c r="U52" i="16"/>
  <c r="U54" i="16" s="1"/>
  <c r="F24" i="52"/>
  <c r="AF46" i="16"/>
  <c r="E23" i="52"/>
  <c r="F24" i="9"/>
  <c r="R27" i="48"/>
  <c r="U41" i="14"/>
  <c r="C26" i="35"/>
  <c r="J26" i="35" s="1"/>
  <c r="B27" i="35"/>
  <c r="D55" i="23"/>
  <c r="K55" i="23" s="1"/>
  <c r="E55" i="23"/>
  <c r="B55" i="23"/>
  <c r="I55" i="23" s="1"/>
  <c r="C55" i="23"/>
  <c r="J55" i="23" s="1"/>
  <c r="B27" i="34"/>
  <c r="C26" i="34"/>
  <c r="J26" i="34" s="1"/>
  <c r="P38" i="34" s="1"/>
  <c r="E27" i="37"/>
  <c r="K27" i="37"/>
  <c r="D27" i="56"/>
  <c r="I57" i="56"/>
  <c r="D56" i="24"/>
  <c r="K56" i="24" s="1"/>
  <c r="E56" i="24"/>
  <c r="B56" i="24"/>
  <c r="I56" i="24" s="1"/>
  <c r="C56" i="24"/>
  <c r="J56" i="24" s="1"/>
  <c r="D56" i="22"/>
  <c r="K56" i="22" s="1"/>
  <c r="E56" i="22"/>
  <c r="B56" i="22"/>
  <c r="I56" i="22" s="1"/>
  <c r="C56" i="22"/>
  <c r="J56" i="22" s="1"/>
  <c r="B28" i="55"/>
  <c r="I44" i="55" s="1"/>
  <c r="O56" i="55" s="1"/>
  <c r="C27" i="55"/>
  <c r="K28" i="32"/>
  <c r="E28" i="32"/>
  <c r="B56" i="8"/>
  <c r="I56" i="8" s="1"/>
  <c r="D56" i="8"/>
  <c r="K56" i="8" s="1"/>
  <c r="C56" i="8"/>
  <c r="J56" i="8" s="1"/>
  <c r="E56" i="8"/>
  <c r="C27" i="54"/>
  <c r="B28" i="54"/>
  <c r="I28" i="54" s="1"/>
  <c r="B28" i="48"/>
  <c r="C27" i="48"/>
  <c r="J27" i="48" s="1"/>
  <c r="P27" i="48" s="1"/>
  <c r="E27" i="53"/>
  <c r="I28" i="33"/>
  <c r="O28" i="33" s="1"/>
  <c r="D28" i="33"/>
  <c r="D58" i="7"/>
  <c r="E58" i="7"/>
  <c r="C58" i="7"/>
  <c r="B58" i="7"/>
  <c r="B27" i="36"/>
  <c r="C26" i="36"/>
  <c r="J26" i="36" s="1"/>
  <c r="H12" i="63" l="1"/>
  <c r="G11" i="64"/>
  <c r="G9" i="64"/>
  <c r="H10" i="63"/>
  <c r="E19" i="19"/>
  <c r="K29" i="21"/>
  <c r="Q29" i="21" s="1"/>
  <c r="F27" i="6" s="1"/>
  <c r="Z41" i="16" s="1"/>
  <c r="E29" i="21"/>
  <c r="J57" i="55"/>
  <c r="P69" i="55" s="1"/>
  <c r="J42" i="55"/>
  <c r="P54" i="55" s="1"/>
  <c r="V12" i="16"/>
  <c r="J27" i="54"/>
  <c r="V35" i="14"/>
  <c r="E24" i="9"/>
  <c r="W40" i="16"/>
  <c r="I27" i="35"/>
  <c r="D27" i="35"/>
  <c r="E56" i="23"/>
  <c r="D56" i="23"/>
  <c r="K56" i="23" s="1"/>
  <c r="C56" i="23"/>
  <c r="J56" i="23" s="1"/>
  <c r="B56" i="23"/>
  <c r="I56" i="23" s="1"/>
  <c r="I27" i="34"/>
  <c r="O39" i="34" s="1"/>
  <c r="D27" i="34"/>
  <c r="B28" i="37"/>
  <c r="C27" i="37"/>
  <c r="J27" i="37" s="1"/>
  <c r="K57" i="56"/>
  <c r="E27" i="56"/>
  <c r="B57" i="22"/>
  <c r="I57" i="22" s="1"/>
  <c r="E57" i="22"/>
  <c r="C57" i="22"/>
  <c r="J57" i="22" s="1"/>
  <c r="D57" i="22"/>
  <c r="K57" i="22" s="1"/>
  <c r="E57" i="24"/>
  <c r="D57" i="24"/>
  <c r="C57" i="24"/>
  <c r="J57" i="24" s="1"/>
  <c r="B57" i="24"/>
  <c r="I57" i="24" s="1"/>
  <c r="D28" i="55"/>
  <c r="K44" i="55" s="1"/>
  <c r="Q56" i="55" s="1"/>
  <c r="B29" i="32"/>
  <c r="C28" i="32"/>
  <c r="J28" i="32" s="1"/>
  <c r="D28" i="54"/>
  <c r="K28" i="54" s="1"/>
  <c r="B57" i="8"/>
  <c r="I57" i="8" s="1"/>
  <c r="C57" i="8"/>
  <c r="J57" i="8" s="1"/>
  <c r="D57" i="8"/>
  <c r="K57" i="8" s="1"/>
  <c r="E57" i="8"/>
  <c r="B28" i="53"/>
  <c r="I28" i="53" s="1"/>
  <c r="O28" i="53" s="1"/>
  <c r="C27" i="53"/>
  <c r="I28" i="48"/>
  <c r="O28" i="48" s="1"/>
  <c r="D28" i="48"/>
  <c r="D27" i="36"/>
  <c r="I27" i="36"/>
  <c r="S6" i="7"/>
  <c r="B59" i="7"/>
  <c r="C59" i="7"/>
  <c r="D59" i="7"/>
  <c r="E59" i="7"/>
  <c r="K28" i="33"/>
  <c r="Q28" i="33" s="1"/>
  <c r="E28" i="33"/>
  <c r="K58" i="7"/>
  <c r="F58" i="7"/>
  <c r="T5" i="7" s="1"/>
  <c r="I58" i="7"/>
  <c r="J58" i="7"/>
  <c r="G13" i="64" l="1"/>
  <c r="H14" i="63"/>
  <c r="B30" i="21"/>
  <c r="I30" i="21" s="1"/>
  <c r="O30" i="21" s="1"/>
  <c r="D28" i="6" s="1"/>
  <c r="AA29" i="14" s="1"/>
  <c r="R28" i="33"/>
  <c r="D25" i="52"/>
  <c r="V36" i="14"/>
  <c r="V37" i="14" s="1"/>
  <c r="V40" i="14" s="1"/>
  <c r="V39" i="16"/>
  <c r="V48" i="16" s="1"/>
  <c r="V51" i="16" s="1"/>
  <c r="J27" i="53"/>
  <c r="P27" i="53" s="1"/>
  <c r="D25" i="9"/>
  <c r="E27" i="35"/>
  <c r="K27" i="35"/>
  <c r="B57" i="23"/>
  <c r="I57" i="23" s="1"/>
  <c r="E57" i="23"/>
  <c r="D57" i="23"/>
  <c r="K57" i="23" s="1"/>
  <c r="C57" i="23"/>
  <c r="J57" i="23" s="1"/>
  <c r="E27" i="34"/>
  <c r="K27" i="34"/>
  <c r="Q39" i="34" s="1"/>
  <c r="I28" i="37"/>
  <c r="D28" i="37"/>
  <c r="B28" i="56"/>
  <c r="C27" i="56"/>
  <c r="J57" i="56" s="1"/>
  <c r="E28" i="55"/>
  <c r="K57" i="24"/>
  <c r="C58" i="22"/>
  <c r="J58" i="22" s="1"/>
  <c r="D58" i="22"/>
  <c r="K58" i="22" s="1"/>
  <c r="E58" i="22"/>
  <c r="B58" i="22"/>
  <c r="I58" i="22" s="1"/>
  <c r="C58" i="24"/>
  <c r="J58" i="24" s="1"/>
  <c r="E58" i="24"/>
  <c r="B58" i="24"/>
  <c r="I58" i="24" s="1"/>
  <c r="D58" i="24"/>
  <c r="K58" i="24" s="1"/>
  <c r="D29" i="32"/>
  <c r="I29" i="32"/>
  <c r="D28" i="53"/>
  <c r="K28" i="53" s="1"/>
  <c r="Q28" i="53" s="1"/>
  <c r="E58" i="8"/>
  <c r="D58" i="8"/>
  <c r="C58" i="8"/>
  <c r="J58" i="8" s="1"/>
  <c r="B58" i="8"/>
  <c r="I58" i="8" s="1"/>
  <c r="E28" i="54"/>
  <c r="K28" i="48"/>
  <c r="Q28" i="48" s="1"/>
  <c r="E28" i="48"/>
  <c r="B60" i="7"/>
  <c r="I60" i="7" s="1"/>
  <c r="E60" i="7"/>
  <c r="D60" i="7"/>
  <c r="K60" i="7" s="1"/>
  <c r="C60" i="7"/>
  <c r="J60" i="7" s="1"/>
  <c r="W24" i="7"/>
  <c r="B29" i="33"/>
  <c r="C28" i="33"/>
  <c r="J28" i="33" s="1"/>
  <c r="P28" i="33" s="1"/>
  <c r="K59" i="7"/>
  <c r="K27" i="36"/>
  <c r="E27" i="36"/>
  <c r="J59" i="7"/>
  <c r="X23" i="7"/>
  <c r="U5" i="7"/>
  <c r="I59" i="7"/>
  <c r="R39" i="34" l="1"/>
  <c r="D30" i="21"/>
  <c r="K30" i="21" s="1"/>
  <c r="Q30" i="21" s="1"/>
  <c r="F28" i="6" s="1"/>
  <c r="AA41" i="16" s="1"/>
  <c r="AA37" i="16"/>
  <c r="AA47" i="16" s="1"/>
  <c r="AA33" i="14"/>
  <c r="AA34" i="14" s="1"/>
  <c r="AA31" i="14"/>
  <c r="V52" i="16"/>
  <c r="V54" i="16" s="1"/>
  <c r="E24" i="52"/>
  <c r="F25" i="52"/>
  <c r="F25" i="9"/>
  <c r="R28" i="48"/>
  <c r="V41" i="14"/>
  <c r="B28" i="35"/>
  <c r="C27" i="35"/>
  <c r="J27" i="35" s="1"/>
  <c r="D58" i="23"/>
  <c r="E58" i="23"/>
  <c r="C58" i="23"/>
  <c r="J58" i="23" s="1"/>
  <c r="B58" i="23"/>
  <c r="I58" i="23" s="1"/>
  <c r="B28" i="34"/>
  <c r="C27" i="34"/>
  <c r="J27" i="34" s="1"/>
  <c r="P39" i="34" s="1"/>
  <c r="K28" i="37"/>
  <c r="E28" i="37"/>
  <c r="D28" i="56"/>
  <c r="I60" i="56"/>
  <c r="C59" i="22"/>
  <c r="J59" i="22" s="1"/>
  <c r="D59" i="22"/>
  <c r="K59" i="22" s="1"/>
  <c r="B59" i="22"/>
  <c r="I59" i="22" s="1"/>
  <c r="E59" i="22"/>
  <c r="S7" i="24"/>
  <c r="B59" i="24"/>
  <c r="I59" i="24" s="1"/>
  <c r="E59" i="24"/>
  <c r="C59" i="24"/>
  <c r="J59" i="24" s="1"/>
  <c r="D59" i="24"/>
  <c r="K59" i="24" s="1"/>
  <c r="B29" i="55"/>
  <c r="I46" i="55" s="1"/>
  <c r="O58" i="55" s="1"/>
  <c r="O6" i="55" s="1"/>
  <c r="C28" i="55"/>
  <c r="F58" i="24"/>
  <c r="T6" i="24" s="1"/>
  <c r="U6" i="24" s="1"/>
  <c r="F58" i="22"/>
  <c r="T7" i="22" s="1"/>
  <c r="U7" i="22" s="1"/>
  <c r="K29" i="32"/>
  <c r="E29" i="32"/>
  <c r="E28" i="53"/>
  <c r="D59" i="8"/>
  <c r="K59" i="8" s="1"/>
  <c r="E59" i="8"/>
  <c r="C59" i="8"/>
  <c r="J59" i="8" s="1"/>
  <c r="B59" i="8"/>
  <c r="I59" i="8" s="1"/>
  <c r="B29" i="48"/>
  <c r="C28" i="48"/>
  <c r="J28" i="48" s="1"/>
  <c r="P28" i="48" s="1"/>
  <c r="C28" i="54"/>
  <c r="B29" i="54"/>
  <c r="I29" i="54" s="1"/>
  <c r="K58" i="8"/>
  <c r="F58" i="8"/>
  <c r="B28" i="36"/>
  <c r="C27" i="36"/>
  <c r="J27" i="36" s="1"/>
  <c r="Y23" i="7"/>
  <c r="D61" i="7"/>
  <c r="C61" i="7"/>
  <c r="B61" i="7"/>
  <c r="E61" i="7"/>
  <c r="D29" i="33"/>
  <c r="I29" i="33"/>
  <c r="O29" i="33" s="1"/>
  <c r="E30" i="21" l="1"/>
  <c r="B31" i="21" s="1"/>
  <c r="I31" i="21" s="1"/>
  <c r="O31" i="21" s="1"/>
  <c r="D29" i="6" s="1"/>
  <c r="AB29" i="14" s="1"/>
  <c r="C30" i="21"/>
  <c r="J30" i="21" s="1"/>
  <c r="P30" i="21" s="1"/>
  <c r="E28" i="6" s="1"/>
  <c r="J44" i="55"/>
  <c r="P56" i="55" s="1"/>
  <c r="J28" i="54"/>
  <c r="W35" i="14"/>
  <c r="W12" i="16"/>
  <c r="E25" i="9"/>
  <c r="X40" i="16"/>
  <c r="I28" i="35"/>
  <c r="D28" i="35"/>
  <c r="B59" i="23"/>
  <c r="I59" i="23" s="1"/>
  <c r="D59" i="23"/>
  <c r="K59" i="23" s="1"/>
  <c r="C59" i="23"/>
  <c r="J59" i="23" s="1"/>
  <c r="E59" i="23"/>
  <c r="K58" i="23"/>
  <c r="F58" i="23"/>
  <c r="D28" i="34"/>
  <c r="I28" i="34"/>
  <c r="O40" i="34" s="1"/>
  <c r="B29" i="37"/>
  <c r="C28" i="37"/>
  <c r="J28" i="37" s="1"/>
  <c r="K60" i="56"/>
  <c r="E28" i="56"/>
  <c r="E60" i="22"/>
  <c r="B60" i="22"/>
  <c r="I60" i="22" s="1"/>
  <c r="D60" i="22"/>
  <c r="K60" i="22" s="1"/>
  <c r="C60" i="22"/>
  <c r="J60" i="22" s="1"/>
  <c r="C60" i="24"/>
  <c r="J60" i="24" s="1"/>
  <c r="B60" i="24"/>
  <c r="I60" i="24" s="1"/>
  <c r="E60" i="24"/>
  <c r="D60" i="24"/>
  <c r="K60" i="24" s="1"/>
  <c r="I63" i="55"/>
  <c r="O75" i="55" s="1"/>
  <c r="D29" i="55"/>
  <c r="K46" i="55" s="1"/>
  <c r="Q58" i="55" s="1"/>
  <c r="Q6" i="55" s="1"/>
  <c r="B30" i="32"/>
  <c r="C29" i="32"/>
  <c r="J29" i="32" s="1"/>
  <c r="E60" i="8"/>
  <c r="B60" i="8"/>
  <c r="I60" i="8" s="1"/>
  <c r="C60" i="8"/>
  <c r="J60" i="8" s="1"/>
  <c r="D60" i="8"/>
  <c r="K60" i="8" s="1"/>
  <c r="D29" i="54"/>
  <c r="K29" i="54" s="1"/>
  <c r="B29" i="53"/>
  <c r="I29" i="53" s="1"/>
  <c r="O29" i="53" s="1"/>
  <c r="D26" i="52" s="1"/>
  <c r="C28" i="53"/>
  <c r="I29" i="48"/>
  <c r="O29" i="48" s="1"/>
  <c r="D26" i="9" s="1"/>
  <c r="D29" i="48"/>
  <c r="K29" i="33"/>
  <c r="Q29" i="33" s="1"/>
  <c r="R29" i="33" s="1"/>
  <c r="E29" i="33"/>
  <c r="J61" i="7"/>
  <c r="K61" i="7"/>
  <c r="D28" i="36"/>
  <c r="I28" i="36"/>
  <c r="C62" i="7"/>
  <c r="J62" i="7" s="1"/>
  <c r="D62" i="7"/>
  <c r="K62" i="7" s="1"/>
  <c r="B62" i="7"/>
  <c r="I62" i="7" s="1"/>
  <c r="E62" i="7"/>
  <c r="I61" i="7"/>
  <c r="AB37" i="16" l="1"/>
  <c r="AB47" i="16" s="1"/>
  <c r="AB33" i="14"/>
  <c r="AB34" i="14" s="1"/>
  <c r="AB31" i="14"/>
  <c r="D31" i="21"/>
  <c r="C31" i="21" s="1"/>
  <c r="J31" i="21" s="1"/>
  <c r="P31" i="21" s="1"/>
  <c r="E29" i="6" s="1"/>
  <c r="R6" i="55"/>
  <c r="J28" i="53"/>
  <c r="P28" i="53" s="1"/>
  <c r="W39" i="16"/>
  <c r="W48" i="16" s="1"/>
  <c r="W51" i="16" s="1"/>
  <c r="W36" i="14"/>
  <c r="W37" i="14" s="1"/>
  <c r="W40" i="14" s="1"/>
  <c r="K28" i="35"/>
  <c r="E28" i="35"/>
  <c r="B60" i="23"/>
  <c r="I60" i="23" s="1"/>
  <c r="C60" i="23"/>
  <c r="J60" i="23" s="1"/>
  <c r="E60" i="23"/>
  <c r="D60" i="23"/>
  <c r="K60" i="23" s="1"/>
  <c r="E28" i="34"/>
  <c r="K28" i="34"/>
  <c r="Q40" i="34" s="1"/>
  <c r="I29" i="37"/>
  <c r="D29" i="37"/>
  <c r="B29" i="56"/>
  <c r="C28" i="56"/>
  <c r="J60" i="56" s="1"/>
  <c r="E61" i="24"/>
  <c r="C61" i="24"/>
  <c r="J61" i="24" s="1"/>
  <c r="B61" i="24"/>
  <c r="I61" i="24" s="1"/>
  <c r="D61" i="24"/>
  <c r="K61" i="24" s="1"/>
  <c r="K63" i="55"/>
  <c r="Q75" i="55" s="1"/>
  <c r="E29" i="55"/>
  <c r="E61" i="22"/>
  <c r="D61" i="22"/>
  <c r="K61" i="22" s="1"/>
  <c r="B61" i="22"/>
  <c r="I61" i="22" s="1"/>
  <c r="C61" i="22"/>
  <c r="J61" i="22" s="1"/>
  <c r="D30" i="32"/>
  <c r="I30" i="32"/>
  <c r="K29" i="48"/>
  <c r="Q29" i="48" s="1"/>
  <c r="E29" i="48"/>
  <c r="D29" i="53"/>
  <c r="K29" i="53" s="1"/>
  <c r="Q29" i="53" s="1"/>
  <c r="F26" i="52" s="1"/>
  <c r="E29" i="54"/>
  <c r="B61" i="8"/>
  <c r="I61" i="8" s="1"/>
  <c r="D61" i="8"/>
  <c r="K61" i="8" s="1"/>
  <c r="E61" i="8"/>
  <c r="C61" i="8"/>
  <c r="J61" i="8" s="1"/>
  <c r="B63" i="7"/>
  <c r="C63" i="7"/>
  <c r="D63" i="7"/>
  <c r="K63" i="7" s="1"/>
  <c r="E63" i="7"/>
  <c r="K28" i="36"/>
  <c r="E28" i="36"/>
  <c r="B30" i="33"/>
  <c r="C29" i="33"/>
  <c r="J29" i="33" s="1"/>
  <c r="P29" i="33" s="1"/>
  <c r="R40" i="34" l="1"/>
  <c r="W52" i="16"/>
  <c r="X12" i="16" s="1"/>
  <c r="AC49" i="16"/>
  <c r="K31" i="21"/>
  <c r="Q31" i="21" s="1"/>
  <c r="F29" i="6" s="1"/>
  <c r="AB41" i="16" s="1"/>
  <c r="E31" i="21"/>
  <c r="E25" i="52"/>
  <c r="F26" i="9"/>
  <c r="Y40" i="16" s="1"/>
  <c r="R29" i="48"/>
  <c r="W41" i="14"/>
  <c r="B29" i="35"/>
  <c r="C28" i="35"/>
  <c r="J28" i="35" s="1"/>
  <c r="C61" i="23"/>
  <c r="J61" i="23" s="1"/>
  <c r="B61" i="23"/>
  <c r="I61" i="23" s="1"/>
  <c r="D61" i="23"/>
  <c r="K61" i="23" s="1"/>
  <c r="E61" i="23"/>
  <c r="C28" i="34"/>
  <c r="J28" i="34" s="1"/>
  <c r="P40" i="34" s="1"/>
  <c r="B29" i="34"/>
  <c r="K29" i="37"/>
  <c r="E29" i="37"/>
  <c r="I63" i="56"/>
  <c r="D29" i="56"/>
  <c r="B62" i="22"/>
  <c r="I62" i="22" s="1"/>
  <c r="C62" i="22"/>
  <c r="J62" i="22" s="1"/>
  <c r="E62" i="22"/>
  <c r="D62" i="22"/>
  <c r="K62" i="22" s="1"/>
  <c r="B30" i="55"/>
  <c r="I48" i="55" s="1"/>
  <c r="O60" i="55" s="1"/>
  <c r="C29" i="55"/>
  <c r="E62" i="24"/>
  <c r="B62" i="24"/>
  <c r="I62" i="24" s="1"/>
  <c r="D62" i="24"/>
  <c r="K62" i="24" s="1"/>
  <c r="C62" i="24"/>
  <c r="J62" i="24" s="1"/>
  <c r="K30" i="32"/>
  <c r="E30" i="32"/>
  <c r="E29" i="53"/>
  <c r="C29" i="54"/>
  <c r="B30" i="54"/>
  <c r="I30" i="54" s="1"/>
  <c r="B62" i="8"/>
  <c r="I62" i="8" s="1"/>
  <c r="C62" i="8"/>
  <c r="J62" i="8" s="1"/>
  <c r="E62" i="8"/>
  <c r="D62" i="8"/>
  <c r="K62" i="8" s="1"/>
  <c r="B30" i="48"/>
  <c r="C29" i="48"/>
  <c r="J29" i="48" s="1"/>
  <c r="P29" i="48" s="1"/>
  <c r="E26" i="9" s="1"/>
  <c r="B29" i="36"/>
  <c r="C28" i="36"/>
  <c r="J28" i="36" s="1"/>
  <c r="J63" i="7"/>
  <c r="I63" i="7"/>
  <c r="D30" i="33"/>
  <c r="I30" i="33"/>
  <c r="O30" i="33" s="1"/>
  <c r="D64" i="7"/>
  <c r="K64" i="7" s="1"/>
  <c r="C64" i="7"/>
  <c r="J64" i="7" s="1"/>
  <c r="E64" i="7"/>
  <c r="B64" i="7"/>
  <c r="I64" i="7" s="1"/>
  <c r="W54" i="16" l="1"/>
  <c r="B32" i="21"/>
  <c r="I32" i="21" s="1"/>
  <c r="O32" i="21" s="1"/>
  <c r="D30" i="6" s="1"/>
  <c r="AC29" i="14" s="1"/>
  <c r="J63" i="55"/>
  <c r="P75" i="55" s="1"/>
  <c r="J46" i="55"/>
  <c r="P58" i="55" s="1"/>
  <c r="P6" i="55" s="1"/>
  <c r="J29" i="54"/>
  <c r="X35" i="14"/>
  <c r="D29" i="35"/>
  <c r="I29" i="35"/>
  <c r="C62" i="23"/>
  <c r="J62" i="23" s="1"/>
  <c r="B62" i="23"/>
  <c r="I62" i="23" s="1"/>
  <c r="D62" i="23"/>
  <c r="K62" i="23" s="1"/>
  <c r="E62" i="23"/>
  <c r="D29" i="34"/>
  <c r="I29" i="34"/>
  <c r="O41" i="34" s="1"/>
  <c r="B30" i="37"/>
  <c r="C29" i="37"/>
  <c r="J29" i="37" s="1"/>
  <c r="K63" i="56"/>
  <c r="E29" i="56"/>
  <c r="C63" i="24"/>
  <c r="J63" i="24" s="1"/>
  <c r="B63" i="24"/>
  <c r="I63" i="24" s="1"/>
  <c r="E63" i="24"/>
  <c r="D63" i="24"/>
  <c r="K63" i="24" s="1"/>
  <c r="E63" i="22"/>
  <c r="C63" i="22"/>
  <c r="J63" i="22" s="1"/>
  <c r="D63" i="22"/>
  <c r="K63" i="22" s="1"/>
  <c r="B63" i="22"/>
  <c r="I63" i="22" s="1"/>
  <c r="D30" i="55"/>
  <c r="K48" i="55" s="1"/>
  <c r="Q60" i="55" s="1"/>
  <c r="B31" i="32"/>
  <c r="C30" i="32"/>
  <c r="J30" i="32" s="1"/>
  <c r="D30" i="54"/>
  <c r="K30" i="54" s="1"/>
  <c r="B30" i="53"/>
  <c r="I30" i="53" s="1"/>
  <c r="O30" i="53" s="1"/>
  <c r="D27" i="52" s="1"/>
  <c r="C29" i="53"/>
  <c r="E63" i="8"/>
  <c r="D63" i="8"/>
  <c r="K63" i="8" s="1"/>
  <c r="B63" i="8"/>
  <c r="I63" i="8" s="1"/>
  <c r="C63" i="8"/>
  <c r="J63" i="8" s="1"/>
  <c r="I30" i="48"/>
  <c r="O30" i="48" s="1"/>
  <c r="D27" i="9" s="1"/>
  <c r="D30" i="48"/>
  <c r="K30" i="33"/>
  <c r="Q30" i="33" s="1"/>
  <c r="R30" i="33" s="1"/>
  <c r="E30" i="33"/>
  <c r="D29" i="36"/>
  <c r="I29" i="36"/>
  <c r="E65" i="7"/>
  <c r="C65" i="7"/>
  <c r="J65" i="7" s="1"/>
  <c r="D65" i="7"/>
  <c r="K65" i="7" s="1"/>
  <c r="B65" i="7"/>
  <c r="I65" i="7" s="1"/>
  <c r="AC37" i="16" l="1"/>
  <c r="AC47" i="16" s="1"/>
  <c r="AC33" i="14"/>
  <c r="AC34" i="14" s="1"/>
  <c r="AC31" i="14"/>
  <c r="D32" i="21"/>
  <c r="C32" i="21" s="1"/>
  <c r="J32" i="21" s="1"/>
  <c r="P32" i="21" s="1"/>
  <c r="E30" i="6" s="1"/>
  <c r="X39" i="16"/>
  <c r="X48" i="16" s="1"/>
  <c r="X51" i="16" s="1"/>
  <c r="X36" i="14"/>
  <c r="X37" i="14" s="1"/>
  <c r="X40" i="14" s="1"/>
  <c r="J29" i="53"/>
  <c r="P29" i="53" s="1"/>
  <c r="E26" i="52" s="1"/>
  <c r="Y35" i="14" s="1"/>
  <c r="K29" i="35"/>
  <c r="E29" i="35"/>
  <c r="D63" i="23"/>
  <c r="K63" i="23" s="1"/>
  <c r="B63" i="23"/>
  <c r="I63" i="23" s="1"/>
  <c r="C63" i="23"/>
  <c r="J63" i="23" s="1"/>
  <c r="E63" i="23"/>
  <c r="K29" i="34"/>
  <c r="Q41" i="34" s="1"/>
  <c r="R41" i="34" s="1"/>
  <c r="E29" i="34"/>
  <c r="D30" i="37"/>
  <c r="I30" i="37"/>
  <c r="B30" i="56"/>
  <c r="C29" i="56"/>
  <c r="J63" i="56" s="1"/>
  <c r="E64" i="24"/>
  <c r="C64" i="24"/>
  <c r="J64" i="24" s="1"/>
  <c r="B64" i="24"/>
  <c r="I64" i="24" s="1"/>
  <c r="D64" i="24"/>
  <c r="K64" i="24" s="1"/>
  <c r="E30" i="55"/>
  <c r="B64" i="22"/>
  <c r="I64" i="22" s="1"/>
  <c r="C64" i="22"/>
  <c r="J64" i="22" s="1"/>
  <c r="D64" i="22"/>
  <c r="K64" i="22" s="1"/>
  <c r="E64" i="22"/>
  <c r="I31" i="32"/>
  <c r="D31" i="32"/>
  <c r="K30" i="48"/>
  <c r="Q30" i="48" s="1"/>
  <c r="E30" i="48"/>
  <c r="D30" i="53"/>
  <c r="K30" i="53" s="1"/>
  <c r="Q30" i="53" s="1"/>
  <c r="F27" i="52" s="1"/>
  <c r="E64" i="8"/>
  <c r="D64" i="8"/>
  <c r="K64" i="8" s="1"/>
  <c r="B64" i="8"/>
  <c r="I64" i="8" s="1"/>
  <c r="C64" i="8"/>
  <c r="J64" i="8" s="1"/>
  <c r="E30" i="54"/>
  <c r="K29" i="36"/>
  <c r="E29" i="36"/>
  <c r="B31" i="33"/>
  <c r="C30" i="33"/>
  <c r="J30" i="33" s="1"/>
  <c r="P30" i="33" s="1"/>
  <c r="D66" i="7"/>
  <c r="K66" i="7" s="1"/>
  <c r="B66" i="7"/>
  <c r="I66" i="7" s="1"/>
  <c r="E66" i="7"/>
  <c r="C66" i="7"/>
  <c r="J66" i="7" s="1"/>
  <c r="K32" i="21" l="1"/>
  <c r="Q32" i="21" s="1"/>
  <c r="F30" i="6" s="1"/>
  <c r="AC41" i="16" s="1"/>
  <c r="E32" i="21"/>
  <c r="Y36" i="14"/>
  <c r="Y37" i="14" s="1"/>
  <c r="Y40" i="14" s="1"/>
  <c r="Y39" i="16"/>
  <c r="Y48" i="16" s="1"/>
  <c r="Y51" i="16" s="1"/>
  <c r="X52" i="16"/>
  <c r="X54" i="16" s="1"/>
  <c r="F27" i="9"/>
  <c r="Z40" i="16" s="1"/>
  <c r="R30" i="48"/>
  <c r="X41" i="14"/>
  <c r="B30" i="35"/>
  <c r="C29" i="35"/>
  <c r="J29" i="35" s="1"/>
  <c r="C64" i="23"/>
  <c r="J64" i="23" s="1"/>
  <c r="E64" i="23"/>
  <c r="B64" i="23"/>
  <c r="I64" i="23" s="1"/>
  <c r="D64" i="23"/>
  <c r="K64" i="23" s="1"/>
  <c r="C29" i="34"/>
  <c r="J29" i="34" s="1"/>
  <c r="P41" i="34" s="1"/>
  <c r="B30" i="34"/>
  <c r="K30" i="37"/>
  <c r="E30" i="37"/>
  <c r="D30" i="56"/>
  <c r="I66" i="56"/>
  <c r="B65" i="22"/>
  <c r="I65" i="22" s="1"/>
  <c r="C65" i="22"/>
  <c r="J65" i="22" s="1"/>
  <c r="E65" i="22"/>
  <c r="D65" i="22"/>
  <c r="K65" i="22" s="1"/>
  <c r="B31" i="55"/>
  <c r="I50" i="55" s="1"/>
  <c r="O62" i="55" s="1"/>
  <c r="C30" i="55"/>
  <c r="E65" i="24"/>
  <c r="C65" i="24"/>
  <c r="J65" i="24" s="1"/>
  <c r="B65" i="24"/>
  <c r="I65" i="24" s="1"/>
  <c r="D65" i="24"/>
  <c r="K65" i="24" s="1"/>
  <c r="K31" i="32"/>
  <c r="E31" i="32"/>
  <c r="E30" i="53"/>
  <c r="C30" i="54"/>
  <c r="B31" i="54"/>
  <c r="I31" i="54" s="1"/>
  <c r="C65" i="8"/>
  <c r="J65" i="8" s="1"/>
  <c r="D65" i="8"/>
  <c r="B65" i="8"/>
  <c r="I65" i="8" s="1"/>
  <c r="E65" i="8"/>
  <c r="B31" i="48"/>
  <c r="C30" i="48"/>
  <c r="J30" i="48" s="1"/>
  <c r="P30" i="48" s="1"/>
  <c r="E27" i="9" s="1"/>
  <c r="C67" i="7"/>
  <c r="J67" i="7" s="1"/>
  <c r="B67" i="7"/>
  <c r="I67" i="7" s="1"/>
  <c r="D67" i="7"/>
  <c r="K67" i="7" s="1"/>
  <c r="E67" i="7"/>
  <c r="I31" i="33"/>
  <c r="O31" i="33" s="1"/>
  <c r="D31" i="33"/>
  <c r="B30" i="36"/>
  <c r="C29" i="36"/>
  <c r="J29" i="36" s="1"/>
  <c r="B33" i="21" l="1"/>
  <c r="I33" i="21" s="1"/>
  <c r="O33" i="21" s="1"/>
  <c r="D31" i="6" s="1"/>
  <c r="AD29" i="14" s="1"/>
  <c r="J48" i="55"/>
  <c r="P60" i="55" s="1"/>
  <c r="J30" i="54"/>
  <c r="Y41" i="14"/>
  <c r="Y12" i="16"/>
  <c r="Y52" i="16" s="1"/>
  <c r="Y54" i="16" s="1"/>
  <c r="D30" i="35"/>
  <c r="I30" i="35"/>
  <c r="E65" i="23"/>
  <c r="B65" i="23"/>
  <c r="I65" i="23" s="1"/>
  <c r="D65" i="23"/>
  <c r="K65" i="23" s="1"/>
  <c r="C65" i="23"/>
  <c r="J65" i="23" s="1"/>
  <c r="D30" i="34"/>
  <c r="I30" i="34"/>
  <c r="O42" i="34" s="1"/>
  <c r="C30" i="37"/>
  <c r="J30" i="37" s="1"/>
  <c r="B31" i="37"/>
  <c r="K66" i="56"/>
  <c r="E30" i="56"/>
  <c r="C66" i="24"/>
  <c r="J66" i="24" s="1"/>
  <c r="D66" i="24"/>
  <c r="K66" i="24" s="1"/>
  <c r="E66" i="24"/>
  <c r="B66" i="24"/>
  <c r="I66" i="24" s="1"/>
  <c r="E66" i="22"/>
  <c r="C66" i="22"/>
  <c r="J66" i="22" s="1"/>
  <c r="D66" i="22"/>
  <c r="K66" i="22" s="1"/>
  <c r="B66" i="22"/>
  <c r="I66" i="22" s="1"/>
  <c r="I69" i="55"/>
  <c r="O81" i="55" s="1"/>
  <c r="D31" i="55"/>
  <c r="K50" i="55" s="1"/>
  <c r="Q62" i="55" s="1"/>
  <c r="B32" i="32"/>
  <c r="C31" i="32"/>
  <c r="J31" i="32" s="1"/>
  <c r="K65" i="8"/>
  <c r="I31" i="48"/>
  <c r="O31" i="48" s="1"/>
  <c r="D28" i="9" s="1"/>
  <c r="D31" i="48"/>
  <c r="B31" i="53"/>
  <c r="I31" i="53" s="1"/>
  <c r="O31" i="53" s="1"/>
  <c r="D28" i="52" s="1"/>
  <c r="C30" i="53"/>
  <c r="B66" i="8"/>
  <c r="I66" i="8" s="1"/>
  <c r="C66" i="8"/>
  <c r="J66" i="8" s="1"/>
  <c r="D66" i="8"/>
  <c r="K66" i="8" s="1"/>
  <c r="E66" i="8"/>
  <c r="D31" i="54"/>
  <c r="K31" i="54" s="1"/>
  <c r="I30" i="36"/>
  <c r="D30" i="36"/>
  <c r="D68" i="7"/>
  <c r="K68" i="7" s="1"/>
  <c r="C68" i="7"/>
  <c r="J68" i="7" s="1"/>
  <c r="B68" i="7"/>
  <c r="I68" i="7" s="1"/>
  <c r="E68" i="7"/>
  <c r="K31" i="33"/>
  <c r="Q31" i="33" s="1"/>
  <c r="R31" i="33" s="1"/>
  <c r="E31" i="33"/>
  <c r="D33" i="21" l="1"/>
  <c r="K33" i="21" s="1"/>
  <c r="Q33" i="21" s="1"/>
  <c r="F31" i="6" s="1"/>
  <c r="AD41" i="16" s="1"/>
  <c r="AD37" i="16"/>
  <c r="AD47" i="16" s="1"/>
  <c r="AD31" i="14"/>
  <c r="AD33" i="14"/>
  <c r="AD34" i="14" s="1"/>
  <c r="J30" i="53"/>
  <c r="P30" i="53" s="1"/>
  <c r="E27" i="52" s="1"/>
  <c r="Z35" i="14" s="1"/>
  <c r="Z12" i="16"/>
  <c r="K30" i="35"/>
  <c r="E30" i="35"/>
  <c r="B66" i="23"/>
  <c r="I66" i="23" s="1"/>
  <c r="E66" i="23"/>
  <c r="D66" i="23"/>
  <c r="K66" i="23" s="1"/>
  <c r="C66" i="23"/>
  <c r="J66" i="23" s="1"/>
  <c r="K30" i="34"/>
  <c r="Q42" i="34" s="1"/>
  <c r="R42" i="34" s="1"/>
  <c r="E30" i="34"/>
  <c r="I31" i="37"/>
  <c r="D31" i="37"/>
  <c r="B31" i="56"/>
  <c r="C30" i="56"/>
  <c r="J66" i="56" s="1"/>
  <c r="D67" i="22"/>
  <c r="K67" i="22" s="1"/>
  <c r="B67" i="22"/>
  <c r="I67" i="22" s="1"/>
  <c r="C67" i="22"/>
  <c r="J67" i="22" s="1"/>
  <c r="E67" i="22"/>
  <c r="E67" i="24"/>
  <c r="C67" i="24"/>
  <c r="J67" i="24" s="1"/>
  <c r="B67" i="24"/>
  <c r="I67" i="24" s="1"/>
  <c r="D67" i="24"/>
  <c r="K67" i="24" s="1"/>
  <c r="K69" i="55"/>
  <c r="Q81" i="55" s="1"/>
  <c r="E31" i="55"/>
  <c r="I32" i="32"/>
  <c r="D32" i="32"/>
  <c r="E31" i="54"/>
  <c r="D31" i="53"/>
  <c r="K31" i="53" s="1"/>
  <c r="Q31" i="53" s="1"/>
  <c r="F28" i="52" s="1"/>
  <c r="C67" i="8"/>
  <c r="J67" i="8" s="1"/>
  <c r="D67" i="8"/>
  <c r="K67" i="8" s="1"/>
  <c r="B67" i="8"/>
  <c r="I67" i="8" s="1"/>
  <c r="E67" i="8"/>
  <c r="K31" i="48"/>
  <c r="Q31" i="48" s="1"/>
  <c r="E31" i="48"/>
  <c r="B69" i="7"/>
  <c r="I69" i="7" s="1"/>
  <c r="D69" i="7"/>
  <c r="K69" i="7" s="1"/>
  <c r="E69" i="7"/>
  <c r="C69" i="7"/>
  <c r="J69" i="7" s="1"/>
  <c r="K30" i="36"/>
  <c r="E30" i="36"/>
  <c r="B32" i="33"/>
  <c r="C31" i="33"/>
  <c r="J31" i="33" s="1"/>
  <c r="P31" i="33" s="1"/>
  <c r="E33" i="21" l="1"/>
  <c r="C33" i="21"/>
  <c r="J33" i="21" s="1"/>
  <c r="P33" i="21" s="1"/>
  <c r="E31" i="6" s="1"/>
  <c r="Z36" i="14"/>
  <c r="Z37" i="14" s="1"/>
  <c r="Z40" i="14" s="1"/>
  <c r="Z41" i="14" s="1"/>
  <c r="Z39" i="16"/>
  <c r="Z48" i="16" s="1"/>
  <c r="Z51" i="16" s="1"/>
  <c r="F28" i="9"/>
  <c r="AA40" i="16" s="1"/>
  <c r="R31" i="48"/>
  <c r="B31" i="35"/>
  <c r="C30" i="35"/>
  <c r="J30" i="35" s="1"/>
  <c r="D67" i="23"/>
  <c r="K67" i="23" s="1"/>
  <c r="C67" i="23"/>
  <c r="J67" i="23" s="1"/>
  <c r="E67" i="23"/>
  <c r="B67" i="23"/>
  <c r="I67" i="23" s="1"/>
  <c r="C30" i="34"/>
  <c r="J30" i="34" s="1"/>
  <c r="P42" i="34" s="1"/>
  <c r="B31" i="34"/>
  <c r="K31" i="37"/>
  <c r="E31" i="37"/>
  <c r="D31" i="56"/>
  <c r="I69" i="56"/>
  <c r="E68" i="24"/>
  <c r="C68" i="24"/>
  <c r="J68" i="24" s="1"/>
  <c r="B68" i="24"/>
  <c r="I68" i="24" s="1"/>
  <c r="D68" i="24"/>
  <c r="K68" i="24" s="1"/>
  <c r="B68" i="22"/>
  <c r="I68" i="22" s="1"/>
  <c r="D68" i="22"/>
  <c r="K68" i="22" s="1"/>
  <c r="C68" i="22"/>
  <c r="J68" i="22" s="1"/>
  <c r="E68" i="22"/>
  <c r="B32" i="55"/>
  <c r="I52" i="55" s="1"/>
  <c r="O64" i="55" s="1"/>
  <c r="C31" i="55"/>
  <c r="K32" i="32"/>
  <c r="E32" i="32"/>
  <c r="E31" i="53"/>
  <c r="D68" i="8"/>
  <c r="K68" i="8" s="1"/>
  <c r="B68" i="8"/>
  <c r="I68" i="8" s="1"/>
  <c r="C68" i="8"/>
  <c r="J68" i="8" s="1"/>
  <c r="E68" i="8"/>
  <c r="B32" i="48"/>
  <c r="C31" i="48"/>
  <c r="J31" i="48" s="1"/>
  <c r="P31" i="48" s="1"/>
  <c r="E28" i="9" s="1"/>
  <c r="B32" i="54"/>
  <c r="C31" i="54"/>
  <c r="E70" i="7"/>
  <c r="D70" i="7"/>
  <c r="C70" i="7"/>
  <c r="B70" i="7"/>
  <c r="I32" i="33"/>
  <c r="O32" i="33" s="1"/>
  <c r="D32" i="33"/>
  <c r="B31" i="36"/>
  <c r="C30" i="36"/>
  <c r="J30" i="36" s="1"/>
  <c r="B34" i="21" l="1"/>
  <c r="I34" i="21" s="1"/>
  <c r="O34" i="21" s="1"/>
  <c r="D32" i="6" s="1"/>
  <c r="J69" i="55"/>
  <c r="P81" i="55" s="1"/>
  <c r="J50" i="55"/>
  <c r="P62" i="55" s="1"/>
  <c r="J31" i="54"/>
  <c r="D32" i="54"/>
  <c r="I32" i="54"/>
  <c r="Z52" i="16"/>
  <c r="AA12" i="16" s="1"/>
  <c r="I31" i="35"/>
  <c r="D31" i="35"/>
  <c r="C68" i="23"/>
  <c r="J68" i="23" s="1"/>
  <c r="D68" i="23"/>
  <c r="K68" i="23" s="1"/>
  <c r="B68" i="23"/>
  <c r="I68" i="23" s="1"/>
  <c r="E68" i="23"/>
  <c r="D31" i="34"/>
  <c r="I31" i="34"/>
  <c r="O43" i="34" s="1"/>
  <c r="B32" i="37"/>
  <c r="C31" i="37"/>
  <c r="J31" i="37" s="1"/>
  <c r="K69" i="56"/>
  <c r="E31" i="56"/>
  <c r="D32" i="55"/>
  <c r="E69" i="24"/>
  <c r="C69" i="24"/>
  <c r="J69" i="24" s="1"/>
  <c r="D69" i="24"/>
  <c r="B69" i="24"/>
  <c r="I69" i="24" s="1"/>
  <c r="C69" i="22"/>
  <c r="J69" i="22" s="1"/>
  <c r="D69" i="22"/>
  <c r="K69" i="22" s="1"/>
  <c r="B69" i="22"/>
  <c r="I69" i="22" s="1"/>
  <c r="E69" i="22"/>
  <c r="B33" i="32"/>
  <c r="C32" i="32"/>
  <c r="J32" i="32" s="1"/>
  <c r="D69" i="8"/>
  <c r="C69" i="8"/>
  <c r="J69" i="8" s="1"/>
  <c r="E69" i="8"/>
  <c r="B69" i="8"/>
  <c r="I69" i="8" s="1"/>
  <c r="B32" i="53"/>
  <c r="I32" i="53" s="1"/>
  <c r="O32" i="53" s="1"/>
  <c r="D29" i="52" s="1"/>
  <c r="C31" i="53"/>
  <c r="D32" i="48"/>
  <c r="I32" i="48"/>
  <c r="O32" i="48" s="1"/>
  <c r="D29" i="9" s="1"/>
  <c r="K32" i="33"/>
  <c r="Q32" i="33" s="1"/>
  <c r="R32" i="33" s="1"/>
  <c r="E32" i="33"/>
  <c r="S7" i="7"/>
  <c r="B71" i="7"/>
  <c r="I71" i="7" s="1"/>
  <c r="C71" i="7"/>
  <c r="J71" i="7" s="1"/>
  <c r="D71" i="7"/>
  <c r="E71" i="7"/>
  <c r="I70" i="7"/>
  <c r="I31" i="36"/>
  <c r="D31" i="36"/>
  <c r="J70" i="7"/>
  <c r="K70" i="7"/>
  <c r="F70" i="7"/>
  <c r="T6" i="7" s="1"/>
  <c r="Z54" i="16" l="1"/>
  <c r="O4" i="21"/>
  <c r="D34" i="21"/>
  <c r="F34" i="21" s="1"/>
  <c r="AE29" i="14"/>
  <c r="I10" i="6"/>
  <c r="E32" i="55"/>
  <c r="B33" i="55" s="1"/>
  <c r="I54" i="55" s="1"/>
  <c r="O66" i="55" s="1"/>
  <c r="K52" i="55"/>
  <c r="Q64" i="55" s="1"/>
  <c r="E32" i="54"/>
  <c r="K32" i="54"/>
  <c r="J31" i="53"/>
  <c r="P31" i="53" s="1"/>
  <c r="E28" i="52" s="1"/>
  <c r="AA35" i="14" s="1"/>
  <c r="K31" i="35"/>
  <c r="E31" i="35"/>
  <c r="D69" i="23"/>
  <c r="K69" i="23" s="1"/>
  <c r="E69" i="23"/>
  <c r="C69" i="23"/>
  <c r="J69" i="23" s="1"/>
  <c r="B69" i="23"/>
  <c r="I69" i="23" s="1"/>
  <c r="K31" i="34"/>
  <c r="Q43" i="34" s="1"/>
  <c r="R43" i="34" s="1"/>
  <c r="E31" i="34"/>
  <c r="D32" i="37"/>
  <c r="I32" i="37"/>
  <c r="B32" i="56"/>
  <c r="D32" i="56" s="1"/>
  <c r="E32" i="56" s="1"/>
  <c r="C31" i="56"/>
  <c r="J69" i="56" s="1"/>
  <c r="D70" i="24"/>
  <c r="K70" i="24" s="1"/>
  <c r="E70" i="24"/>
  <c r="C70" i="24"/>
  <c r="J70" i="24" s="1"/>
  <c r="B70" i="24"/>
  <c r="I70" i="24" s="1"/>
  <c r="E70" i="22"/>
  <c r="B70" i="22"/>
  <c r="I70" i="22" s="1"/>
  <c r="D70" i="22"/>
  <c r="C70" i="22"/>
  <c r="J70" i="22" s="1"/>
  <c r="K69" i="24"/>
  <c r="I33" i="32"/>
  <c r="D33" i="32"/>
  <c r="K32" i="48"/>
  <c r="Q32" i="48" s="1"/>
  <c r="E32" i="48"/>
  <c r="D70" i="8"/>
  <c r="K70" i="8" s="1"/>
  <c r="C70" i="8"/>
  <c r="J70" i="8" s="1"/>
  <c r="E70" i="8"/>
  <c r="B70" i="8"/>
  <c r="I70" i="8" s="1"/>
  <c r="D32" i="53"/>
  <c r="K69" i="8"/>
  <c r="K31" i="36"/>
  <c r="E31" i="36"/>
  <c r="B33" i="33"/>
  <c r="C32" i="33"/>
  <c r="J32" i="33" s="1"/>
  <c r="P32" i="33" s="1"/>
  <c r="X24" i="7"/>
  <c r="U6" i="7"/>
  <c r="B72" i="7"/>
  <c r="I72" i="7" s="1"/>
  <c r="E72" i="7"/>
  <c r="D72" i="7"/>
  <c r="K72" i="7" s="1"/>
  <c r="C72" i="7"/>
  <c r="J72" i="7" s="1"/>
  <c r="W25" i="7"/>
  <c r="K71" i="7"/>
  <c r="D33" i="55" l="1"/>
  <c r="E33" i="55" s="1"/>
  <c r="S3" i="21"/>
  <c r="W11" i="7" s="1"/>
  <c r="M9" i="6" s="1"/>
  <c r="T3" i="21"/>
  <c r="X11" i="7" s="1"/>
  <c r="N9" i="6" s="1"/>
  <c r="C34" i="21"/>
  <c r="J34" i="21" s="1"/>
  <c r="P34" i="21" s="1"/>
  <c r="E34" i="21"/>
  <c r="B35" i="21" s="1"/>
  <c r="I35" i="21" s="1"/>
  <c r="O35" i="21" s="1"/>
  <c r="D33" i="6" s="1"/>
  <c r="K34" i="21"/>
  <c r="Q34" i="21" s="1"/>
  <c r="AE37" i="16"/>
  <c r="AE33" i="14"/>
  <c r="AE31" i="14"/>
  <c r="AF29" i="14"/>
  <c r="G33" i="18" s="1"/>
  <c r="T22" i="63" s="1"/>
  <c r="C32" i="55"/>
  <c r="J52" i="55" s="1"/>
  <c r="P64" i="55" s="1"/>
  <c r="K54" i="55"/>
  <c r="Q66" i="55" s="1"/>
  <c r="C32" i="54"/>
  <c r="J32" i="54" s="1"/>
  <c r="B33" i="54"/>
  <c r="E32" i="53"/>
  <c r="B33" i="53" s="1"/>
  <c r="I33" i="53" s="1"/>
  <c r="O33" i="53" s="1"/>
  <c r="D30" i="52" s="1"/>
  <c r="K32" i="53"/>
  <c r="Q32" i="53" s="1"/>
  <c r="F29" i="52" s="1"/>
  <c r="AA36" i="14"/>
  <c r="AA37" i="14" s="1"/>
  <c r="AA40" i="14" s="1"/>
  <c r="AA41" i="14" s="1"/>
  <c r="AA39" i="16"/>
  <c r="AA48" i="16" s="1"/>
  <c r="AA51" i="16" s="1"/>
  <c r="F29" i="9"/>
  <c r="R32" i="48"/>
  <c r="B32" i="35"/>
  <c r="C31" i="35"/>
  <c r="J31" i="35" s="1"/>
  <c r="D70" i="23"/>
  <c r="C70" i="23"/>
  <c r="J70" i="23" s="1"/>
  <c r="B70" i="23"/>
  <c r="I70" i="23" s="1"/>
  <c r="E70" i="23"/>
  <c r="C31" i="34"/>
  <c r="J31" i="34" s="1"/>
  <c r="P43" i="34" s="1"/>
  <c r="B32" i="34"/>
  <c r="F70" i="8"/>
  <c r="K32" i="37"/>
  <c r="E32" i="37"/>
  <c r="C32" i="56"/>
  <c r="B33" i="56"/>
  <c r="D33" i="56" s="1"/>
  <c r="E33" i="56" s="1"/>
  <c r="F70" i="24"/>
  <c r="T7" i="24" s="1"/>
  <c r="U7" i="24" s="1"/>
  <c r="K70" i="22"/>
  <c r="F70" i="22"/>
  <c r="D71" i="24"/>
  <c r="K71" i="24" s="1"/>
  <c r="E71" i="24"/>
  <c r="C71" i="24"/>
  <c r="J71" i="24" s="1"/>
  <c r="B71" i="24"/>
  <c r="I71" i="24" s="1"/>
  <c r="E71" i="22"/>
  <c r="B71" i="22"/>
  <c r="I71" i="22" s="1"/>
  <c r="C71" i="22"/>
  <c r="J71" i="22" s="1"/>
  <c r="D71" i="22"/>
  <c r="K71" i="22" s="1"/>
  <c r="K33" i="32"/>
  <c r="E33" i="32"/>
  <c r="B33" i="48"/>
  <c r="C32" i="48"/>
  <c r="J32" i="48" s="1"/>
  <c r="P32" i="48" s="1"/>
  <c r="E29" i="9" s="1"/>
  <c r="B71" i="8"/>
  <c r="I71" i="8" s="1"/>
  <c r="D71" i="8"/>
  <c r="K71" i="8" s="1"/>
  <c r="E71" i="8"/>
  <c r="C71" i="8"/>
  <c r="J71" i="8" s="1"/>
  <c r="B32" i="36"/>
  <c r="C31" i="36"/>
  <c r="J31" i="36" s="1"/>
  <c r="Y24" i="7"/>
  <c r="D73" i="7"/>
  <c r="K73" i="7" s="1"/>
  <c r="B73" i="7"/>
  <c r="I73" i="7" s="1"/>
  <c r="C73" i="7"/>
  <c r="J73" i="7" s="1"/>
  <c r="E73" i="7"/>
  <c r="I33" i="33"/>
  <c r="O33" i="33" s="1"/>
  <c r="D33" i="33"/>
  <c r="T24" i="63" l="1"/>
  <c r="U22" i="63"/>
  <c r="C32" i="53"/>
  <c r="J32" i="53" s="1"/>
  <c r="P32" i="53" s="1"/>
  <c r="E29" i="52" s="1"/>
  <c r="AB35" i="14" s="1"/>
  <c r="AB36" i="14" s="1"/>
  <c r="AB37" i="14" s="1"/>
  <c r="AB40" i="14" s="1"/>
  <c r="AB41" i="14" s="1"/>
  <c r="B34" i="55"/>
  <c r="I56" i="55" s="1"/>
  <c r="O68" i="55" s="1"/>
  <c r="C33" i="55"/>
  <c r="J54" i="55" s="1"/>
  <c r="P66" i="55" s="1"/>
  <c r="D35" i="21"/>
  <c r="C35" i="21" s="1"/>
  <c r="J35" i="21" s="1"/>
  <c r="P35" i="21" s="1"/>
  <c r="E33" i="6" s="1"/>
  <c r="U3" i="21"/>
  <c r="Y11" i="7" s="1"/>
  <c r="P4" i="21"/>
  <c r="E32" i="6"/>
  <c r="J10" i="6" s="1"/>
  <c r="Q4" i="21"/>
  <c r="R4" i="21" s="1"/>
  <c r="V12" i="7" s="1"/>
  <c r="F32" i="6"/>
  <c r="AF31" i="14"/>
  <c r="AF33" i="14"/>
  <c r="AE34" i="14"/>
  <c r="AF34" i="14" s="1"/>
  <c r="D30" i="19"/>
  <c r="O9" i="6"/>
  <c r="AF37" i="16"/>
  <c r="AE47" i="16"/>
  <c r="I33" i="18"/>
  <c r="H33" i="18"/>
  <c r="H52" i="18" s="1"/>
  <c r="AF51" i="14" s="1"/>
  <c r="G37" i="18"/>
  <c r="G35" i="18"/>
  <c r="Q15" i="64" s="1"/>
  <c r="D33" i="54"/>
  <c r="I33" i="54"/>
  <c r="AB40" i="16"/>
  <c r="AA52" i="16"/>
  <c r="AA54" i="16" s="1"/>
  <c r="D33" i="53"/>
  <c r="D32" i="35"/>
  <c r="I32" i="35"/>
  <c r="C71" i="23"/>
  <c r="J71" i="23" s="1"/>
  <c r="E71" i="23"/>
  <c r="D71" i="23"/>
  <c r="K71" i="23" s="1"/>
  <c r="B71" i="23"/>
  <c r="I71" i="23" s="1"/>
  <c r="F70" i="23"/>
  <c r="K70" i="23"/>
  <c r="D32" i="34"/>
  <c r="I32" i="34"/>
  <c r="O44" i="34" s="1"/>
  <c r="C32" i="37"/>
  <c r="J32" i="37" s="1"/>
  <c r="B33" i="37"/>
  <c r="C33" i="56"/>
  <c r="B34" i="56"/>
  <c r="E72" i="22"/>
  <c r="C72" i="22"/>
  <c r="J72" i="22" s="1"/>
  <c r="D72" i="22"/>
  <c r="K72" i="22" s="1"/>
  <c r="B72" i="22"/>
  <c r="I72" i="22" s="1"/>
  <c r="C72" i="24"/>
  <c r="J72" i="24" s="1"/>
  <c r="D72" i="24"/>
  <c r="K72" i="24" s="1"/>
  <c r="E72" i="24"/>
  <c r="B72" i="24"/>
  <c r="I72" i="24" s="1"/>
  <c r="B34" i="32"/>
  <c r="C33" i="32"/>
  <c r="J33" i="32" s="1"/>
  <c r="E72" i="8"/>
  <c r="B72" i="8"/>
  <c r="I72" i="8" s="1"/>
  <c r="D72" i="8"/>
  <c r="K72" i="8" s="1"/>
  <c r="C72" i="8"/>
  <c r="J72" i="8" s="1"/>
  <c r="I33" i="48"/>
  <c r="O33" i="48" s="1"/>
  <c r="D30" i="9" s="1"/>
  <c r="D33" i="48"/>
  <c r="E74" i="7"/>
  <c r="D74" i="7"/>
  <c r="K74" i="7" s="1"/>
  <c r="B74" i="7"/>
  <c r="I74" i="7" s="1"/>
  <c r="C74" i="7"/>
  <c r="J74" i="7" s="1"/>
  <c r="K33" i="33"/>
  <c r="Q33" i="33" s="1"/>
  <c r="R33" i="33" s="1"/>
  <c r="E33" i="33"/>
  <c r="I32" i="36"/>
  <c r="D32" i="36"/>
  <c r="U24" i="63" l="1"/>
  <c r="T26" i="63"/>
  <c r="K35" i="21"/>
  <c r="Q35" i="21" s="1"/>
  <c r="F33" i="6" s="1"/>
  <c r="D34" i="55"/>
  <c r="E34" i="55" s="1"/>
  <c r="L10" i="6"/>
  <c r="F42" i="19" s="1"/>
  <c r="E35" i="21"/>
  <c r="B36" i="21" s="1"/>
  <c r="I36" i="21" s="1"/>
  <c r="O36" i="21" s="1"/>
  <c r="K10" i="6"/>
  <c r="AE41" i="16"/>
  <c r="AF41" i="16" s="1"/>
  <c r="H35" i="18"/>
  <c r="R15" i="64" s="1"/>
  <c r="I35" i="18"/>
  <c r="AG49" i="16"/>
  <c r="AF47" i="16"/>
  <c r="H37" i="18"/>
  <c r="I37" i="18"/>
  <c r="G38" i="18"/>
  <c r="Q17" i="64" s="1"/>
  <c r="K56" i="55"/>
  <c r="Q68" i="55" s="1"/>
  <c r="AB39" i="16"/>
  <c r="AB48" i="16" s="1"/>
  <c r="AB51" i="16" s="1"/>
  <c r="E33" i="54"/>
  <c r="K33" i="54"/>
  <c r="E33" i="53"/>
  <c r="B34" i="53" s="1"/>
  <c r="K33" i="53"/>
  <c r="Q33" i="53" s="1"/>
  <c r="F30" i="52" s="1"/>
  <c r="AB12" i="16"/>
  <c r="E32" i="35"/>
  <c r="K32" i="35"/>
  <c r="E72" i="23"/>
  <c r="D72" i="23"/>
  <c r="K72" i="23" s="1"/>
  <c r="C72" i="23"/>
  <c r="J72" i="23" s="1"/>
  <c r="B72" i="23"/>
  <c r="I72" i="23" s="1"/>
  <c r="E32" i="34"/>
  <c r="K32" i="34"/>
  <c r="Q44" i="34" s="1"/>
  <c r="R44" i="34" s="1"/>
  <c r="I33" i="37"/>
  <c r="D33" i="37"/>
  <c r="D34" i="56"/>
  <c r="E34" i="56" s="1"/>
  <c r="B35" i="56" s="1"/>
  <c r="D35" i="56" s="1"/>
  <c r="E35" i="56" s="1"/>
  <c r="C73" i="24"/>
  <c r="J73" i="24" s="1"/>
  <c r="D73" i="24"/>
  <c r="K73" i="24" s="1"/>
  <c r="E73" i="24"/>
  <c r="B73" i="24"/>
  <c r="I73" i="24" s="1"/>
  <c r="B73" i="22"/>
  <c r="I73" i="22" s="1"/>
  <c r="D73" i="22"/>
  <c r="K73" i="22" s="1"/>
  <c r="E73" i="22"/>
  <c r="C73" i="22"/>
  <c r="J73" i="22" s="1"/>
  <c r="D34" i="32"/>
  <c r="I34" i="32"/>
  <c r="K33" i="48"/>
  <c r="Q33" i="48" s="1"/>
  <c r="E33" i="48"/>
  <c r="B73" i="8"/>
  <c r="I73" i="8" s="1"/>
  <c r="D73" i="8"/>
  <c r="K73" i="8" s="1"/>
  <c r="C73" i="8"/>
  <c r="J73" i="8" s="1"/>
  <c r="E73" i="8"/>
  <c r="K32" i="36"/>
  <c r="E32" i="36"/>
  <c r="B34" i="33"/>
  <c r="C33" i="33"/>
  <c r="J33" i="33" s="1"/>
  <c r="P33" i="33" s="1"/>
  <c r="C75" i="7"/>
  <c r="J75" i="7" s="1"/>
  <c r="E75" i="7"/>
  <c r="B75" i="7"/>
  <c r="I75" i="7" s="1"/>
  <c r="D75" i="7"/>
  <c r="C33" i="53" l="1"/>
  <c r="J33" i="53" s="1"/>
  <c r="P33" i="53" s="1"/>
  <c r="E30" i="52" s="1"/>
  <c r="T30" i="63"/>
  <c r="U30" i="63" s="1"/>
  <c r="U26" i="63"/>
  <c r="D36" i="21"/>
  <c r="C36" i="21" s="1"/>
  <c r="J36" i="21" s="1"/>
  <c r="P36" i="21" s="1"/>
  <c r="H38" i="18"/>
  <c r="R17" i="64" s="1"/>
  <c r="I38" i="18"/>
  <c r="AH50" i="16"/>
  <c r="AJ50" i="16" s="1"/>
  <c r="J17" i="19"/>
  <c r="L17" i="19"/>
  <c r="H17" i="19"/>
  <c r="F17" i="19"/>
  <c r="D34" i="6"/>
  <c r="C34" i="55"/>
  <c r="J56" i="55" s="1"/>
  <c r="P68" i="55" s="1"/>
  <c r="B35" i="55"/>
  <c r="C33" i="54"/>
  <c r="J33" i="54" s="1"/>
  <c r="B34" i="54"/>
  <c r="AB52" i="16"/>
  <c r="AC12" i="16" s="1"/>
  <c r="I34" i="53"/>
  <c r="O34" i="53" s="1"/>
  <c r="D31" i="52" s="1"/>
  <c r="D34" i="53"/>
  <c r="F30" i="9"/>
  <c r="AC40" i="16" s="1"/>
  <c r="R33" i="48"/>
  <c r="C32" i="35"/>
  <c r="J32" i="35" s="1"/>
  <c r="B33" i="35"/>
  <c r="B73" i="23"/>
  <c r="I73" i="23" s="1"/>
  <c r="E73" i="23"/>
  <c r="D73" i="23"/>
  <c r="K73" i="23" s="1"/>
  <c r="C73" i="23"/>
  <c r="J73" i="23" s="1"/>
  <c r="B33" i="34"/>
  <c r="C32" i="34"/>
  <c r="J32" i="34" s="1"/>
  <c r="P44" i="34" s="1"/>
  <c r="K33" i="37"/>
  <c r="E33" i="37"/>
  <c r="C34" i="56"/>
  <c r="C35" i="56"/>
  <c r="B36" i="56"/>
  <c r="D36" i="56" s="1"/>
  <c r="E36" i="56" s="1"/>
  <c r="B37" i="56" s="1"/>
  <c r="E74" i="22"/>
  <c r="B74" i="22"/>
  <c r="I74" i="22" s="1"/>
  <c r="C74" i="22"/>
  <c r="J74" i="22" s="1"/>
  <c r="D74" i="22"/>
  <c r="K74" i="22" s="1"/>
  <c r="D74" i="24"/>
  <c r="K74" i="24" s="1"/>
  <c r="E74" i="24"/>
  <c r="C74" i="24"/>
  <c r="J74" i="24" s="1"/>
  <c r="B74" i="24"/>
  <c r="I74" i="24" s="1"/>
  <c r="K34" i="32"/>
  <c r="E34" i="32"/>
  <c r="B74" i="8"/>
  <c r="I74" i="8" s="1"/>
  <c r="D74" i="8"/>
  <c r="K74" i="8" s="1"/>
  <c r="E74" i="8"/>
  <c r="C74" i="8"/>
  <c r="J74" i="8" s="1"/>
  <c r="B34" i="48"/>
  <c r="C33" i="48"/>
  <c r="J33" i="48" s="1"/>
  <c r="P33" i="48" s="1"/>
  <c r="E30" i="9" s="1"/>
  <c r="I34" i="33"/>
  <c r="O34" i="33" s="1"/>
  <c r="D34" i="33"/>
  <c r="K75" i="7"/>
  <c r="C76" i="7"/>
  <c r="J76" i="7" s="1"/>
  <c r="B76" i="7"/>
  <c r="I76" i="7" s="1"/>
  <c r="D76" i="7"/>
  <c r="K76" i="7" s="1"/>
  <c r="E76" i="7"/>
  <c r="B33" i="36"/>
  <c r="C32" i="36"/>
  <c r="J32" i="36" s="1"/>
  <c r="AC35" i="14" l="1"/>
  <c r="AC36" i="14" s="1"/>
  <c r="AC37" i="14" s="1"/>
  <c r="AC40" i="14" s="1"/>
  <c r="AC41" i="14" s="1"/>
  <c r="AB54" i="16"/>
  <c r="E36" i="21"/>
  <c r="B37" i="21" s="1"/>
  <c r="I37" i="21" s="1"/>
  <c r="O37" i="21" s="1"/>
  <c r="K36" i="21"/>
  <c r="Q36" i="21" s="1"/>
  <c r="F34" i="6" s="1"/>
  <c r="J115" i="4"/>
  <c r="O25" i="20"/>
  <c r="G115" i="4"/>
  <c r="E34" i="6"/>
  <c r="H115" i="4"/>
  <c r="N25" i="20"/>
  <c r="P25" i="20"/>
  <c r="K115" i="4"/>
  <c r="D35" i="55"/>
  <c r="I58" i="55"/>
  <c r="O70" i="55" s="1"/>
  <c r="O7" i="55" s="1"/>
  <c r="I34" i="54"/>
  <c r="D34" i="54"/>
  <c r="E34" i="53"/>
  <c r="B35" i="53" s="1"/>
  <c r="K34" i="53"/>
  <c r="Q34" i="53" s="1"/>
  <c r="F31" i="52" s="1"/>
  <c r="D33" i="35"/>
  <c r="I33" i="35"/>
  <c r="B74" i="23"/>
  <c r="I74" i="23" s="1"/>
  <c r="E74" i="23"/>
  <c r="D74" i="23"/>
  <c r="K74" i="23" s="1"/>
  <c r="C74" i="23"/>
  <c r="J74" i="23" s="1"/>
  <c r="D33" i="34"/>
  <c r="I33" i="34"/>
  <c r="O45" i="34" s="1"/>
  <c r="B34" i="37"/>
  <c r="C33" i="37"/>
  <c r="J33" i="37" s="1"/>
  <c r="C36" i="56"/>
  <c r="C75" i="24"/>
  <c r="J75" i="24" s="1"/>
  <c r="D75" i="24"/>
  <c r="K75" i="24" s="1"/>
  <c r="B75" i="24"/>
  <c r="I75" i="24" s="1"/>
  <c r="E75" i="24"/>
  <c r="D75" i="22"/>
  <c r="K75" i="22" s="1"/>
  <c r="B75" i="22"/>
  <c r="I75" i="22" s="1"/>
  <c r="E75" i="22"/>
  <c r="C75" i="22"/>
  <c r="J75" i="22" s="1"/>
  <c r="B35" i="32"/>
  <c r="C34" i="32"/>
  <c r="J34" i="32" s="1"/>
  <c r="E75" i="8"/>
  <c r="C75" i="8"/>
  <c r="J75" i="8" s="1"/>
  <c r="D75" i="8"/>
  <c r="K75" i="8" s="1"/>
  <c r="B75" i="8"/>
  <c r="I75" i="8" s="1"/>
  <c r="I34" i="48"/>
  <c r="O34" i="48" s="1"/>
  <c r="D31" i="9" s="1"/>
  <c r="D34" i="48"/>
  <c r="I33" i="36"/>
  <c r="D33" i="36"/>
  <c r="D37" i="56"/>
  <c r="E37" i="56" s="1"/>
  <c r="C37" i="56" s="1"/>
  <c r="C77" i="7"/>
  <c r="J77" i="7" s="1"/>
  <c r="D77" i="7"/>
  <c r="K77" i="7" s="1"/>
  <c r="E77" i="7"/>
  <c r="B77" i="7"/>
  <c r="I77" i="7" s="1"/>
  <c r="K34" i="33"/>
  <c r="Q34" i="33" s="1"/>
  <c r="R34" i="33" s="1"/>
  <c r="E34" i="33"/>
  <c r="C34" i="53" l="1"/>
  <c r="J34" i="53" s="1"/>
  <c r="P34" i="53" s="1"/>
  <c r="E31" i="52" s="1"/>
  <c r="AC39" i="16"/>
  <c r="AC48" i="16" s="1"/>
  <c r="AC51" i="16" s="1"/>
  <c r="AC52" i="16" s="1"/>
  <c r="AC54" i="16" s="1"/>
  <c r="D35" i="6"/>
  <c r="D37" i="21"/>
  <c r="C37" i="21" s="1"/>
  <c r="J37" i="21" s="1"/>
  <c r="P37" i="21" s="1"/>
  <c r="E35" i="55"/>
  <c r="K58" i="55"/>
  <c r="Q70" i="55" s="1"/>
  <c r="Q7" i="55" s="1"/>
  <c r="E34" i="54"/>
  <c r="K34" i="54"/>
  <c r="I35" i="53"/>
  <c r="O35" i="53" s="1"/>
  <c r="D35" i="53"/>
  <c r="E33" i="35"/>
  <c r="K33" i="35"/>
  <c r="E75" i="23"/>
  <c r="D75" i="23"/>
  <c r="K75" i="23" s="1"/>
  <c r="C75" i="23"/>
  <c r="J75" i="23" s="1"/>
  <c r="B75" i="23"/>
  <c r="I75" i="23" s="1"/>
  <c r="K33" i="34"/>
  <c r="Q45" i="34" s="1"/>
  <c r="R45" i="34" s="1"/>
  <c r="E33" i="34"/>
  <c r="I34" i="37"/>
  <c r="D34" i="37"/>
  <c r="D76" i="24"/>
  <c r="K76" i="24" s="1"/>
  <c r="C76" i="24"/>
  <c r="J76" i="24" s="1"/>
  <c r="B76" i="24"/>
  <c r="I76" i="24" s="1"/>
  <c r="E76" i="24"/>
  <c r="D76" i="22"/>
  <c r="K76" i="22" s="1"/>
  <c r="C76" i="22"/>
  <c r="J76" i="22" s="1"/>
  <c r="B76" i="22"/>
  <c r="I76" i="22" s="1"/>
  <c r="E76" i="22"/>
  <c r="I35" i="32"/>
  <c r="D35" i="32"/>
  <c r="K34" i="48"/>
  <c r="Q34" i="48" s="1"/>
  <c r="E34" i="48"/>
  <c r="E76" i="8"/>
  <c r="B76" i="8"/>
  <c r="I76" i="8" s="1"/>
  <c r="D76" i="8"/>
  <c r="K76" i="8" s="1"/>
  <c r="C76" i="8"/>
  <c r="J76" i="8" s="1"/>
  <c r="C78" i="7"/>
  <c r="J78" i="7" s="1"/>
  <c r="B78" i="7"/>
  <c r="I78" i="7" s="1"/>
  <c r="D78" i="7"/>
  <c r="K78" i="7" s="1"/>
  <c r="E78" i="7"/>
  <c r="K33" i="36"/>
  <c r="E33" i="36"/>
  <c r="B35" i="33"/>
  <c r="C34" i="33"/>
  <c r="J34" i="33" s="1"/>
  <c r="P34" i="33" s="1"/>
  <c r="B38" i="56"/>
  <c r="E35" i="6" l="1"/>
  <c r="K37" i="21"/>
  <c r="Q37" i="21" s="1"/>
  <c r="E37" i="21"/>
  <c r="R7" i="55"/>
  <c r="C35" i="55"/>
  <c r="J58" i="55" s="1"/>
  <c r="P70" i="55" s="1"/>
  <c r="P7" i="55" s="1"/>
  <c r="B36" i="55"/>
  <c r="C34" i="54"/>
  <c r="J34" i="54" s="1"/>
  <c r="B35" i="54"/>
  <c r="D32" i="52"/>
  <c r="I10" i="52" s="1"/>
  <c r="O4" i="53"/>
  <c r="E35" i="53"/>
  <c r="B36" i="53" s="1"/>
  <c r="K35" i="53"/>
  <c r="Q35" i="53" s="1"/>
  <c r="F31" i="9"/>
  <c r="AD40" i="16" s="1"/>
  <c r="R34" i="48"/>
  <c r="AD12" i="16"/>
  <c r="C33" i="35"/>
  <c r="J33" i="35" s="1"/>
  <c r="B34" i="35"/>
  <c r="B76" i="23"/>
  <c r="I76" i="23" s="1"/>
  <c r="E76" i="23"/>
  <c r="C76" i="23"/>
  <c r="J76" i="23" s="1"/>
  <c r="D76" i="23"/>
  <c r="K76" i="23" s="1"/>
  <c r="B34" i="34"/>
  <c r="C33" i="34"/>
  <c r="J33" i="34" s="1"/>
  <c r="P45" i="34" s="1"/>
  <c r="K34" i="37"/>
  <c r="E34" i="37"/>
  <c r="E77" i="22"/>
  <c r="B77" i="22"/>
  <c r="I77" i="22" s="1"/>
  <c r="C77" i="22"/>
  <c r="J77" i="22" s="1"/>
  <c r="D77" i="22"/>
  <c r="K77" i="22" s="1"/>
  <c r="C77" i="24"/>
  <c r="J77" i="24" s="1"/>
  <c r="E77" i="24"/>
  <c r="B77" i="24"/>
  <c r="I77" i="24" s="1"/>
  <c r="D77" i="24"/>
  <c r="K77" i="24" s="1"/>
  <c r="K35" i="32"/>
  <c r="F35" i="32"/>
  <c r="E35" i="32"/>
  <c r="B35" i="48"/>
  <c r="C34" i="48"/>
  <c r="J34" i="48" s="1"/>
  <c r="P34" i="48" s="1"/>
  <c r="E31" i="9" s="1"/>
  <c r="AD35" i="14" s="1"/>
  <c r="B77" i="8"/>
  <c r="I77" i="8" s="1"/>
  <c r="D77" i="8"/>
  <c r="C77" i="8"/>
  <c r="J77" i="8" s="1"/>
  <c r="E77" i="8"/>
  <c r="D38" i="56"/>
  <c r="E38" i="56" s="1"/>
  <c r="I35" i="33"/>
  <c r="O35" i="33" s="1"/>
  <c r="O4" i="33" s="1"/>
  <c r="D35" i="33"/>
  <c r="C79" i="7"/>
  <c r="J79" i="7" s="1"/>
  <c r="E79" i="7"/>
  <c r="D79" i="7"/>
  <c r="K79" i="7" s="1"/>
  <c r="B79" i="7"/>
  <c r="I79" i="7" s="1"/>
  <c r="B34" i="36"/>
  <c r="C33" i="36"/>
  <c r="J33" i="36" s="1"/>
  <c r="C35" i="53" l="1"/>
  <c r="J35" i="53" s="1"/>
  <c r="P35" i="53" s="1"/>
  <c r="E32" i="52" s="1"/>
  <c r="J10" i="52" s="1"/>
  <c r="F35" i="6"/>
  <c r="B38" i="21"/>
  <c r="I38" i="21" s="1"/>
  <c r="O38" i="21" s="1"/>
  <c r="D36" i="55"/>
  <c r="I60" i="55"/>
  <c r="O72" i="55" s="1"/>
  <c r="I35" i="54"/>
  <c r="D35" i="54"/>
  <c r="D36" i="53"/>
  <c r="I36" i="53"/>
  <c r="O36" i="53" s="1"/>
  <c r="F32" i="52"/>
  <c r="K10" i="52" s="1"/>
  <c r="Q4" i="53"/>
  <c r="AD36" i="14"/>
  <c r="AD37" i="14" s="1"/>
  <c r="AD40" i="14" s="1"/>
  <c r="AD41" i="14" s="1"/>
  <c r="AD39" i="16"/>
  <c r="AD48" i="16" s="1"/>
  <c r="AD51" i="16" s="1"/>
  <c r="D34" i="35"/>
  <c r="I34" i="35"/>
  <c r="B77" i="23"/>
  <c r="I77" i="23" s="1"/>
  <c r="C77" i="23"/>
  <c r="J77" i="23" s="1"/>
  <c r="D77" i="23"/>
  <c r="K77" i="23" s="1"/>
  <c r="E77" i="23"/>
  <c r="I34" i="34"/>
  <c r="O46" i="34" s="1"/>
  <c r="D34" i="34"/>
  <c r="C34" i="37"/>
  <c r="J34" i="37" s="1"/>
  <c r="B35" i="37"/>
  <c r="B78" i="24"/>
  <c r="I78" i="24" s="1"/>
  <c r="E78" i="24"/>
  <c r="C78" i="24"/>
  <c r="J78" i="24" s="1"/>
  <c r="D78" i="24"/>
  <c r="K78" i="24" s="1"/>
  <c r="C78" i="22"/>
  <c r="J78" i="22" s="1"/>
  <c r="B78" i="22"/>
  <c r="I78" i="22" s="1"/>
  <c r="E78" i="22"/>
  <c r="D78" i="22"/>
  <c r="K78" i="22" s="1"/>
  <c r="B36" i="32"/>
  <c r="C35" i="32"/>
  <c r="J35" i="32" s="1"/>
  <c r="C78" i="8"/>
  <c r="J78" i="8" s="1"/>
  <c r="D78" i="8"/>
  <c r="K78" i="8" s="1"/>
  <c r="E78" i="8"/>
  <c r="B78" i="8"/>
  <c r="I78" i="8" s="1"/>
  <c r="K77" i="8"/>
  <c r="D35" i="48"/>
  <c r="I35" i="48"/>
  <c r="O35" i="48" s="1"/>
  <c r="D34" i="36"/>
  <c r="I34" i="36"/>
  <c r="B39" i="56"/>
  <c r="D80" i="7"/>
  <c r="K80" i="7" s="1"/>
  <c r="B80" i="7"/>
  <c r="I80" i="7" s="1"/>
  <c r="C80" i="7"/>
  <c r="J80" i="7" s="1"/>
  <c r="E80" i="7"/>
  <c r="K35" i="33"/>
  <c r="Q35" i="33" s="1"/>
  <c r="F35" i="33"/>
  <c r="E35" i="33"/>
  <c r="C38" i="56"/>
  <c r="P4" i="53" l="1"/>
  <c r="D36" i="6"/>
  <c r="D38" i="21"/>
  <c r="C38" i="21" s="1"/>
  <c r="J38" i="21" s="1"/>
  <c r="P38" i="21" s="1"/>
  <c r="E36" i="55"/>
  <c r="K60" i="55"/>
  <c r="Q72" i="55" s="1"/>
  <c r="E35" i="54"/>
  <c r="K35" i="54"/>
  <c r="Q4" i="33"/>
  <c r="S35" i="33"/>
  <c r="R35" i="33"/>
  <c r="D33" i="52"/>
  <c r="R4" i="53"/>
  <c r="L10" i="52" s="1"/>
  <c r="F26" i="19" s="1"/>
  <c r="E36" i="53"/>
  <c r="B37" i="53" s="1"/>
  <c r="K36" i="53"/>
  <c r="Q36" i="53" s="1"/>
  <c r="D32" i="9"/>
  <c r="I10" i="9" s="1"/>
  <c r="O4" i="48"/>
  <c r="AD52" i="16"/>
  <c r="AD54" i="16" s="1"/>
  <c r="E34" i="35"/>
  <c r="K34" i="35"/>
  <c r="C78" i="23"/>
  <c r="J78" i="23" s="1"/>
  <c r="D78" i="23"/>
  <c r="K78" i="23" s="1"/>
  <c r="E78" i="23"/>
  <c r="B78" i="23"/>
  <c r="I78" i="23" s="1"/>
  <c r="E34" i="34"/>
  <c r="K34" i="34"/>
  <c r="Q46" i="34" s="1"/>
  <c r="R46" i="34" s="1"/>
  <c r="D35" i="37"/>
  <c r="I35" i="37"/>
  <c r="B79" i="22"/>
  <c r="I79" i="22" s="1"/>
  <c r="E79" i="22"/>
  <c r="C79" i="22"/>
  <c r="J79" i="22" s="1"/>
  <c r="D79" i="22"/>
  <c r="K79" i="22" s="1"/>
  <c r="D79" i="24"/>
  <c r="K79" i="24" s="1"/>
  <c r="C79" i="24"/>
  <c r="J79" i="24" s="1"/>
  <c r="E79" i="24"/>
  <c r="B79" i="24"/>
  <c r="I79" i="24" s="1"/>
  <c r="D36" i="32"/>
  <c r="I36" i="32"/>
  <c r="K35" i="48"/>
  <c r="Q35" i="48" s="1"/>
  <c r="F35" i="48"/>
  <c r="E35" i="48"/>
  <c r="C79" i="8"/>
  <c r="J79" i="8" s="1"/>
  <c r="E79" i="8"/>
  <c r="B79" i="8"/>
  <c r="I79" i="8" s="1"/>
  <c r="D79" i="8"/>
  <c r="B36" i="33"/>
  <c r="C35" i="33"/>
  <c r="J35" i="33" s="1"/>
  <c r="P35" i="33" s="1"/>
  <c r="P4" i="33" s="1"/>
  <c r="D81" i="7"/>
  <c r="K81" i="7" s="1"/>
  <c r="B81" i="7"/>
  <c r="I81" i="7" s="1"/>
  <c r="E81" i="7"/>
  <c r="C81" i="7"/>
  <c r="J81" i="7" s="1"/>
  <c r="K34" i="36"/>
  <c r="E34" i="36"/>
  <c r="D39" i="56"/>
  <c r="E39" i="56" s="1"/>
  <c r="C36" i="53" l="1"/>
  <c r="J36" i="53" s="1"/>
  <c r="P36" i="53" s="1"/>
  <c r="E33" i="52" s="1"/>
  <c r="E36" i="6"/>
  <c r="K38" i="21"/>
  <c r="Q38" i="21" s="1"/>
  <c r="E38" i="21"/>
  <c r="C36" i="55"/>
  <c r="J60" i="55" s="1"/>
  <c r="P72" i="55" s="1"/>
  <c r="B37" i="55"/>
  <c r="C35" i="54"/>
  <c r="J35" i="54" s="1"/>
  <c r="B36" i="54"/>
  <c r="T3" i="33"/>
  <c r="S3" i="33"/>
  <c r="R4" i="33"/>
  <c r="F33" i="52"/>
  <c r="I37" i="53"/>
  <c r="O37" i="53" s="1"/>
  <c r="D37" i="53"/>
  <c r="F32" i="9"/>
  <c r="Q4" i="48"/>
  <c r="S35" i="48"/>
  <c r="R35" i="48"/>
  <c r="AE12" i="16"/>
  <c r="B35" i="35"/>
  <c r="C34" i="35"/>
  <c r="J34" i="35" s="1"/>
  <c r="D79" i="23"/>
  <c r="K79" i="23" s="1"/>
  <c r="C79" i="23"/>
  <c r="J79" i="23" s="1"/>
  <c r="E79" i="23"/>
  <c r="B79" i="23"/>
  <c r="I79" i="23" s="1"/>
  <c r="B35" i="34"/>
  <c r="C34" i="34"/>
  <c r="J34" i="34" s="1"/>
  <c r="P46" i="34" s="1"/>
  <c r="E35" i="37"/>
  <c r="F35" i="37"/>
  <c r="T7" i="37" s="1"/>
  <c r="U7" i="37" s="1"/>
  <c r="K35" i="37"/>
  <c r="C80" i="24"/>
  <c r="J80" i="24" s="1"/>
  <c r="D80" i="24"/>
  <c r="K80" i="24" s="1"/>
  <c r="B80" i="24"/>
  <c r="I80" i="24" s="1"/>
  <c r="E80" i="24"/>
  <c r="D80" i="22"/>
  <c r="K80" i="22" s="1"/>
  <c r="B80" i="22"/>
  <c r="I80" i="22" s="1"/>
  <c r="C80" i="22"/>
  <c r="J80" i="22" s="1"/>
  <c r="E80" i="22"/>
  <c r="K36" i="32"/>
  <c r="E36" i="32"/>
  <c r="E80" i="8"/>
  <c r="D80" i="8"/>
  <c r="K80" i="8" s="1"/>
  <c r="C80" i="8"/>
  <c r="J80" i="8" s="1"/>
  <c r="B80" i="8"/>
  <c r="I80" i="8" s="1"/>
  <c r="B36" i="48"/>
  <c r="C35" i="48"/>
  <c r="J35" i="48" s="1"/>
  <c r="P35" i="48" s="1"/>
  <c r="K79" i="8"/>
  <c r="B35" i="36"/>
  <c r="C34" i="36"/>
  <c r="J34" i="36" s="1"/>
  <c r="B40" i="56"/>
  <c r="C39" i="56"/>
  <c r="D82" i="7"/>
  <c r="C82" i="7"/>
  <c r="J82" i="7" s="1"/>
  <c r="E82" i="7"/>
  <c r="B82" i="7"/>
  <c r="I82" i="7" s="1"/>
  <c r="D36" i="33"/>
  <c r="I36" i="33"/>
  <c r="O36" i="33" s="1"/>
  <c r="B39" i="21" l="1"/>
  <c r="I39" i="21" s="1"/>
  <c r="O39" i="21" s="1"/>
  <c r="F36" i="6"/>
  <c r="I62" i="55"/>
  <c r="O74" i="55" s="1"/>
  <c r="D37" i="55"/>
  <c r="I36" i="54"/>
  <c r="D36" i="54"/>
  <c r="U3" i="33"/>
  <c r="E37" i="53"/>
  <c r="K37" i="53"/>
  <c r="Q37" i="53" s="1"/>
  <c r="D34" i="52"/>
  <c r="E32" i="9"/>
  <c r="P4" i="48"/>
  <c r="T3" i="48"/>
  <c r="X11" i="32" s="1"/>
  <c r="N9" i="9" s="1"/>
  <c r="S3" i="48"/>
  <c r="R4" i="48"/>
  <c r="AE40" i="16"/>
  <c r="AF40" i="16" s="1"/>
  <c r="K10" i="9"/>
  <c r="I35" i="35"/>
  <c r="D35" i="35"/>
  <c r="C80" i="23"/>
  <c r="J80" i="23" s="1"/>
  <c r="E80" i="23"/>
  <c r="D80" i="23"/>
  <c r="K80" i="23" s="1"/>
  <c r="B80" i="23"/>
  <c r="I80" i="23" s="1"/>
  <c r="D35" i="34"/>
  <c r="I35" i="34"/>
  <c r="O47" i="34" s="1"/>
  <c r="O5" i="34" s="1"/>
  <c r="B36" i="37"/>
  <c r="C35" i="37"/>
  <c r="J35" i="37" s="1"/>
  <c r="D81" i="22"/>
  <c r="K81" i="22" s="1"/>
  <c r="B81" i="22"/>
  <c r="I81" i="22" s="1"/>
  <c r="E81" i="22"/>
  <c r="C81" i="22"/>
  <c r="J81" i="22" s="1"/>
  <c r="D81" i="24"/>
  <c r="C81" i="24"/>
  <c r="J81" i="24" s="1"/>
  <c r="E81" i="24"/>
  <c r="B81" i="24"/>
  <c r="I81" i="24" s="1"/>
  <c r="B37" i="32"/>
  <c r="C36" i="32"/>
  <c r="J36" i="32" s="1"/>
  <c r="I36" i="48"/>
  <c r="O36" i="48" s="1"/>
  <c r="D36" i="48"/>
  <c r="B81" i="8"/>
  <c r="I81" i="8" s="1"/>
  <c r="C81" i="8"/>
  <c r="J81" i="8" s="1"/>
  <c r="D81" i="8"/>
  <c r="K81" i="8" s="1"/>
  <c r="E81" i="8"/>
  <c r="I35" i="36"/>
  <c r="D35" i="36"/>
  <c r="K36" i="33"/>
  <c r="Q36" i="33" s="1"/>
  <c r="E36" i="33"/>
  <c r="K82" i="7"/>
  <c r="F82" i="7"/>
  <c r="T7" i="7" s="1"/>
  <c r="D40" i="56"/>
  <c r="E40" i="56" s="1"/>
  <c r="D37" i="6" l="1"/>
  <c r="D39" i="21"/>
  <c r="C39" i="21" s="1"/>
  <c r="J39" i="21" s="1"/>
  <c r="P39" i="21" s="1"/>
  <c r="E37" i="55"/>
  <c r="K62" i="55"/>
  <c r="Q74" i="55" s="1"/>
  <c r="E36" i="54"/>
  <c r="K36" i="54"/>
  <c r="R36" i="33"/>
  <c r="C37" i="53"/>
  <c r="J37" i="53" s="1"/>
  <c r="P37" i="53" s="1"/>
  <c r="B38" i="53"/>
  <c r="F34" i="52"/>
  <c r="D33" i="9"/>
  <c r="U3" i="48"/>
  <c r="Y11" i="32" s="1"/>
  <c r="W11" i="32"/>
  <c r="M9" i="9" s="1"/>
  <c r="L10" i="9"/>
  <c r="V12" i="32"/>
  <c r="AE35" i="14"/>
  <c r="J10" i="9"/>
  <c r="F35" i="35"/>
  <c r="E35" i="35"/>
  <c r="K35" i="35"/>
  <c r="B81" i="23"/>
  <c r="I81" i="23" s="1"/>
  <c r="E81" i="23"/>
  <c r="D81" i="23"/>
  <c r="K81" i="23" s="1"/>
  <c r="C81" i="23"/>
  <c r="J81" i="23" s="1"/>
  <c r="K35" i="34"/>
  <c r="Q47" i="34" s="1"/>
  <c r="F35" i="34"/>
  <c r="E35" i="34"/>
  <c r="I36" i="37"/>
  <c r="D36" i="37"/>
  <c r="K81" i="24"/>
  <c r="E82" i="24"/>
  <c r="D82" i="24"/>
  <c r="K82" i="24" s="1"/>
  <c r="B82" i="24"/>
  <c r="I82" i="24" s="1"/>
  <c r="C82" i="24"/>
  <c r="J82" i="24" s="1"/>
  <c r="D82" i="22"/>
  <c r="C82" i="22"/>
  <c r="J82" i="22" s="1"/>
  <c r="B82" i="22"/>
  <c r="I82" i="22" s="1"/>
  <c r="E82" i="22"/>
  <c r="D37" i="32"/>
  <c r="I37" i="32"/>
  <c r="D82" i="8"/>
  <c r="K82" i="8" s="1"/>
  <c r="B82" i="8"/>
  <c r="I82" i="8" s="1"/>
  <c r="E82" i="8"/>
  <c r="C82" i="8"/>
  <c r="J82" i="8" s="1"/>
  <c r="K36" i="48"/>
  <c r="Q36" i="48" s="1"/>
  <c r="E36" i="48"/>
  <c r="X25" i="7"/>
  <c r="U7" i="7"/>
  <c r="B41" i="56"/>
  <c r="K35" i="36"/>
  <c r="F35" i="36"/>
  <c r="T6" i="36" s="1"/>
  <c r="E35" i="36"/>
  <c r="C40" i="56"/>
  <c r="B37" i="33"/>
  <c r="C36" i="33"/>
  <c r="J36" i="33" s="1"/>
  <c r="P36" i="33" s="1"/>
  <c r="Q5" i="34" l="1"/>
  <c r="S47" i="34"/>
  <c r="R47" i="34"/>
  <c r="K39" i="21"/>
  <c r="Q39" i="21" s="1"/>
  <c r="E39" i="21"/>
  <c r="E37" i="6"/>
  <c r="C37" i="55"/>
  <c r="J62" i="55" s="1"/>
  <c r="P74" i="55" s="1"/>
  <c r="B38" i="55"/>
  <c r="C36" i="54"/>
  <c r="J36" i="54" s="1"/>
  <c r="B37" i="54"/>
  <c r="E34" i="52"/>
  <c r="I38" i="53"/>
  <c r="O38" i="53" s="1"/>
  <c r="D38" i="53"/>
  <c r="F33" i="9"/>
  <c r="R36" i="48"/>
  <c r="D29" i="19"/>
  <c r="O9" i="9"/>
  <c r="D33" i="19"/>
  <c r="AE36" i="14"/>
  <c r="AE39" i="16"/>
  <c r="AF35" i="14"/>
  <c r="B36" i="35"/>
  <c r="C35" i="35"/>
  <c r="J35" i="35" s="1"/>
  <c r="D82" i="23"/>
  <c r="C82" i="23"/>
  <c r="J82" i="23" s="1"/>
  <c r="E82" i="23"/>
  <c r="B82" i="23"/>
  <c r="I82" i="23" s="1"/>
  <c r="B36" i="34"/>
  <c r="C35" i="34"/>
  <c r="J35" i="34" s="1"/>
  <c r="P47" i="34" s="1"/>
  <c r="P5" i="34" s="1"/>
  <c r="K36" i="37"/>
  <c r="E36" i="37"/>
  <c r="F82" i="8"/>
  <c r="F82" i="22"/>
  <c r="K82" i="22"/>
  <c r="F82" i="24"/>
  <c r="K37" i="32"/>
  <c r="E37" i="32"/>
  <c r="B37" i="48"/>
  <c r="C36" i="48"/>
  <c r="J36" i="48" s="1"/>
  <c r="P36" i="48" s="1"/>
  <c r="B36" i="36"/>
  <c r="S7" i="36"/>
  <c r="C35" i="36"/>
  <c r="J35" i="36" s="1"/>
  <c r="D41" i="56"/>
  <c r="E41" i="56" s="1"/>
  <c r="D37" i="33"/>
  <c r="I37" i="33"/>
  <c r="O37" i="33" s="1"/>
  <c r="U6" i="36"/>
  <c r="Y25" i="7"/>
  <c r="R5" i="34" l="1"/>
  <c r="T4" i="34"/>
  <c r="S4" i="34"/>
  <c r="B40" i="21"/>
  <c r="I40" i="21" s="1"/>
  <c r="O40" i="21" s="1"/>
  <c r="D38" i="6" s="1"/>
  <c r="F37" i="6"/>
  <c r="I64" i="55"/>
  <c r="O76" i="55" s="1"/>
  <c r="D38" i="55"/>
  <c r="I37" i="54"/>
  <c r="D37" i="54"/>
  <c r="E38" i="53"/>
  <c r="B39" i="53" s="1"/>
  <c r="K38" i="53"/>
  <c r="Q38" i="53" s="1"/>
  <c r="D35" i="52"/>
  <c r="G39" i="18"/>
  <c r="X49" i="14"/>
  <c r="W57" i="14" s="1"/>
  <c r="D32" i="19"/>
  <c r="G20" i="63" s="1"/>
  <c r="AF39" i="16"/>
  <c r="AE48" i="16"/>
  <c r="D28" i="19"/>
  <c r="G18" i="63" s="1"/>
  <c r="G28" i="63" s="1"/>
  <c r="G23" i="64" s="1"/>
  <c r="D41" i="19"/>
  <c r="AE37" i="14"/>
  <c r="AF36" i="14"/>
  <c r="E33" i="9"/>
  <c r="D36" i="35"/>
  <c r="I36" i="35"/>
  <c r="K82" i="23"/>
  <c r="F82" i="23"/>
  <c r="D36" i="34"/>
  <c r="I36" i="34"/>
  <c r="O48" i="34" s="1"/>
  <c r="B37" i="37"/>
  <c r="C36" i="37"/>
  <c r="J36" i="37" s="1"/>
  <c r="B38" i="32"/>
  <c r="C37" i="32"/>
  <c r="J37" i="32" s="1"/>
  <c r="I37" i="48"/>
  <c r="O37" i="48" s="1"/>
  <c r="D37" i="48"/>
  <c r="K37" i="33"/>
  <c r="Q37" i="33" s="1"/>
  <c r="E37" i="33"/>
  <c r="B42" i="56"/>
  <c r="I36" i="36"/>
  <c r="D36" i="36"/>
  <c r="C41" i="56"/>
  <c r="U4" i="34" l="1"/>
  <c r="C38" i="53"/>
  <c r="J38" i="53" s="1"/>
  <c r="P38" i="53" s="1"/>
  <c r="E35" i="52" s="1"/>
  <c r="T32" i="63"/>
  <c r="U32" i="63" s="1"/>
  <c r="E37" i="20"/>
  <c r="E39" i="20" s="1"/>
  <c r="G22" i="63"/>
  <c r="G30" i="63" s="1"/>
  <c r="D40" i="21"/>
  <c r="E38" i="55"/>
  <c r="K64" i="55"/>
  <c r="Q76" i="55" s="1"/>
  <c r="E37" i="54"/>
  <c r="K37" i="54"/>
  <c r="R37" i="33"/>
  <c r="F35" i="52"/>
  <c r="I39" i="53"/>
  <c r="O39" i="53" s="1"/>
  <c r="D39" i="53"/>
  <c r="D34" i="9"/>
  <c r="AE51" i="16"/>
  <c r="AF48" i="16"/>
  <c r="AF49" i="14"/>
  <c r="AE40" i="14"/>
  <c r="AF37" i="14"/>
  <c r="D45" i="19"/>
  <c r="D44" i="19"/>
  <c r="D39" i="19"/>
  <c r="D28" i="20"/>
  <c r="G40" i="18"/>
  <c r="T34" i="63" s="1"/>
  <c r="U34" i="63" s="1"/>
  <c r="H39" i="18"/>
  <c r="I39" i="18"/>
  <c r="Y19" i="64"/>
  <c r="E22" i="20"/>
  <c r="K36" i="35"/>
  <c r="E36" i="35"/>
  <c r="K36" i="34"/>
  <c r="Q48" i="34" s="1"/>
  <c r="E36" i="34"/>
  <c r="D37" i="37"/>
  <c r="I37" i="37"/>
  <c r="I38" i="32"/>
  <c r="D38" i="32"/>
  <c r="K37" i="48"/>
  <c r="Q37" i="48" s="1"/>
  <c r="E37" i="48"/>
  <c r="D42" i="56"/>
  <c r="E42" i="56" s="1"/>
  <c r="C42" i="56" s="1"/>
  <c r="K36" i="36"/>
  <c r="E36" i="36"/>
  <c r="B38" i="33"/>
  <c r="C37" i="33"/>
  <c r="J37" i="33" s="1"/>
  <c r="P37" i="33" s="1"/>
  <c r="R48" i="34" l="1"/>
  <c r="K40" i="21"/>
  <c r="Q40" i="21" s="1"/>
  <c r="F38" i="6" s="1"/>
  <c r="E40" i="21"/>
  <c r="C40" i="21"/>
  <c r="J40" i="21" s="1"/>
  <c r="P40" i="21" s="1"/>
  <c r="E38" i="6" s="1"/>
  <c r="C38" i="55"/>
  <c r="J64" i="55" s="1"/>
  <c r="P76" i="55" s="1"/>
  <c r="B39" i="55"/>
  <c r="C37" i="54"/>
  <c r="J37" i="54" s="1"/>
  <c r="B38" i="54"/>
  <c r="E39" i="53"/>
  <c r="K39" i="53"/>
  <c r="Q39" i="53" s="1"/>
  <c r="D36" i="52"/>
  <c r="E33" i="19"/>
  <c r="E41" i="19"/>
  <c r="D6" i="20"/>
  <c r="W9" i="64" s="1"/>
  <c r="E29" i="19"/>
  <c r="E20" i="19"/>
  <c r="E36" i="19"/>
  <c r="E26" i="19"/>
  <c r="E24" i="19"/>
  <c r="E21" i="19"/>
  <c r="D19" i="20"/>
  <c r="W15" i="64" s="1"/>
  <c r="E37" i="19"/>
  <c r="D25" i="20"/>
  <c r="E28" i="19"/>
  <c r="E34" i="19"/>
  <c r="E22" i="19"/>
  <c r="L21" i="20"/>
  <c r="E35" i="19"/>
  <c r="E31" i="19"/>
  <c r="D10" i="20"/>
  <c r="E32" i="19"/>
  <c r="H20" i="63" s="1"/>
  <c r="E38" i="19"/>
  <c r="E42" i="19"/>
  <c r="E30" i="19"/>
  <c r="E27" i="19"/>
  <c r="E23" i="19"/>
  <c r="E25" i="19"/>
  <c r="D26" i="20"/>
  <c r="D21" i="20"/>
  <c r="W17" i="64" s="1"/>
  <c r="L19" i="20"/>
  <c r="D15" i="20"/>
  <c r="W13" i="64" s="1"/>
  <c r="L16" i="20"/>
  <c r="D16" i="20"/>
  <c r="L15" i="20"/>
  <c r="D47" i="19"/>
  <c r="D14" i="20"/>
  <c r="L14" i="20"/>
  <c r="Y21" i="64"/>
  <c r="AI29" i="12"/>
  <c r="I40" i="18"/>
  <c r="H40" i="18"/>
  <c r="G41" i="18"/>
  <c r="E44" i="19"/>
  <c r="AE41" i="14"/>
  <c r="W43" i="14" s="1"/>
  <c r="AF40" i="14"/>
  <c r="F34" i="9"/>
  <c r="R37" i="48"/>
  <c r="E45" i="19"/>
  <c r="L20" i="20"/>
  <c r="D20" i="20"/>
  <c r="AE52" i="16"/>
  <c r="AE54" i="16" s="1"/>
  <c r="B37" i="35"/>
  <c r="C36" i="35"/>
  <c r="J36" i="35" s="1"/>
  <c r="B37" i="34"/>
  <c r="C36" i="34"/>
  <c r="J36" i="34" s="1"/>
  <c r="P48" i="34" s="1"/>
  <c r="K37" i="37"/>
  <c r="E37" i="37"/>
  <c r="K38" i="32"/>
  <c r="E38" i="32"/>
  <c r="B38" i="48"/>
  <c r="C37" i="48"/>
  <c r="J37" i="48" s="1"/>
  <c r="P37" i="48" s="1"/>
  <c r="B37" i="36"/>
  <c r="C36" i="36"/>
  <c r="J36" i="36" s="1"/>
  <c r="I38" i="33"/>
  <c r="O38" i="33" s="1"/>
  <c r="D38" i="33"/>
  <c r="B43" i="56"/>
  <c r="H18" i="63" l="1"/>
  <c r="G20" i="64"/>
  <c r="H16" i="63"/>
  <c r="G18" i="64"/>
  <c r="B41" i="21"/>
  <c r="I41" i="21" s="1"/>
  <c r="O41" i="21" s="1"/>
  <c r="D39" i="6" s="1"/>
  <c r="I66" i="55"/>
  <c r="O78" i="55" s="1"/>
  <c r="D39" i="55"/>
  <c r="I38" i="54"/>
  <c r="D38" i="54"/>
  <c r="F36" i="52"/>
  <c r="C39" i="53"/>
  <c r="J39" i="53" s="1"/>
  <c r="P39" i="53" s="1"/>
  <c r="B40" i="53"/>
  <c r="H41" i="18"/>
  <c r="I41" i="18"/>
  <c r="G44" i="18"/>
  <c r="T38" i="63" s="1"/>
  <c r="U38" i="63" s="1"/>
  <c r="E34" i="9"/>
  <c r="F18" i="19"/>
  <c r="J26" i="63" s="1"/>
  <c r="AB43" i="14"/>
  <c r="G45" i="18" s="1"/>
  <c r="T40" i="63" s="1"/>
  <c r="U40" i="63" s="1"/>
  <c r="E39" i="19"/>
  <c r="I37" i="35"/>
  <c r="D37" i="35"/>
  <c r="D37" i="34"/>
  <c r="I37" i="34"/>
  <c r="O49" i="34" s="1"/>
  <c r="C37" i="37"/>
  <c r="J37" i="37" s="1"/>
  <c r="B38" i="37"/>
  <c r="B39" i="32"/>
  <c r="C38" i="32"/>
  <c r="J38" i="32" s="1"/>
  <c r="D38" i="48"/>
  <c r="I38" i="48"/>
  <c r="O38" i="48" s="1"/>
  <c r="D43" i="56"/>
  <c r="E43" i="56" s="1"/>
  <c r="C43" i="56" s="1"/>
  <c r="D37" i="36"/>
  <c r="I37" i="36"/>
  <c r="K38" i="33"/>
  <c r="Q38" i="33" s="1"/>
  <c r="E38" i="33"/>
  <c r="H28" i="63" l="1"/>
  <c r="G24" i="64" s="1"/>
  <c r="G16" i="64"/>
  <c r="H22" i="63"/>
  <c r="H30" i="63" s="1"/>
  <c r="AF43" i="14"/>
  <c r="G46" i="18" s="1"/>
  <c r="D41" i="21"/>
  <c r="E39" i="55"/>
  <c r="K66" i="55"/>
  <c r="Q78" i="55" s="1"/>
  <c r="E38" i="54"/>
  <c r="K38" i="54"/>
  <c r="R38" i="33"/>
  <c r="I40" i="53"/>
  <c r="O40" i="53" s="1"/>
  <c r="D40" i="53"/>
  <c r="E36" i="52"/>
  <c r="F15" i="19"/>
  <c r="J12" i="63" s="1"/>
  <c r="J14" i="63" s="1"/>
  <c r="I69" i="18"/>
  <c r="G116" i="4"/>
  <c r="G118" i="4" s="1"/>
  <c r="I45" i="18"/>
  <c r="H45" i="18"/>
  <c r="F38" i="19"/>
  <c r="H44" i="18"/>
  <c r="I44" i="18"/>
  <c r="D35" i="9"/>
  <c r="K37" i="35"/>
  <c r="E37" i="35"/>
  <c r="E37" i="34"/>
  <c r="K37" i="34"/>
  <c r="Q49" i="34" s="1"/>
  <c r="I38" i="37"/>
  <c r="D38" i="37"/>
  <c r="I39" i="32"/>
  <c r="D39" i="32"/>
  <c r="K38" i="48"/>
  <c r="Q38" i="48" s="1"/>
  <c r="E38" i="48"/>
  <c r="K37" i="36"/>
  <c r="E37" i="36"/>
  <c r="B44" i="56"/>
  <c r="B39" i="33"/>
  <c r="C38" i="33"/>
  <c r="J38" i="33" s="1"/>
  <c r="P38" i="33" s="1"/>
  <c r="G49" i="18" l="1"/>
  <c r="Q22" i="64" s="1"/>
  <c r="R49" i="34"/>
  <c r="T42" i="63"/>
  <c r="U42" i="63" s="1"/>
  <c r="Q19" i="64"/>
  <c r="K65" i="18"/>
  <c r="K66" i="18"/>
  <c r="K63" i="18"/>
  <c r="I46" i="18"/>
  <c r="H46" i="18"/>
  <c r="R19" i="64" s="1"/>
  <c r="F25" i="19"/>
  <c r="K62" i="18"/>
  <c r="K64" i="18"/>
  <c r="K41" i="21"/>
  <c r="Q41" i="21" s="1"/>
  <c r="F39" i="6" s="1"/>
  <c r="C41" i="21"/>
  <c r="J41" i="21" s="1"/>
  <c r="P41" i="21" s="1"/>
  <c r="E39" i="6" s="1"/>
  <c r="E41" i="21"/>
  <c r="C39" i="55"/>
  <c r="J66" i="55" s="1"/>
  <c r="P78" i="55" s="1"/>
  <c r="B40" i="55"/>
  <c r="C38" i="54"/>
  <c r="J38" i="54" s="1"/>
  <c r="B39" i="54"/>
  <c r="E40" i="53"/>
  <c r="K40" i="53"/>
  <c r="Q40" i="53" s="1"/>
  <c r="D37" i="52"/>
  <c r="F19" i="19"/>
  <c r="I15" i="64" s="1"/>
  <c r="F35" i="9"/>
  <c r="R38" i="48"/>
  <c r="C37" i="35"/>
  <c r="J37" i="35" s="1"/>
  <c r="B38" i="35"/>
  <c r="B38" i="34"/>
  <c r="C37" i="34"/>
  <c r="J37" i="34" s="1"/>
  <c r="P49" i="34" s="1"/>
  <c r="E38" i="37"/>
  <c r="K38" i="37"/>
  <c r="K39" i="32"/>
  <c r="E39" i="32"/>
  <c r="B39" i="48"/>
  <c r="C38" i="48"/>
  <c r="J38" i="48" s="1"/>
  <c r="P38" i="48" s="1"/>
  <c r="B38" i="36"/>
  <c r="C37" i="36"/>
  <c r="J37" i="36" s="1"/>
  <c r="D44" i="56"/>
  <c r="E44" i="56" s="1"/>
  <c r="D39" i="33"/>
  <c r="I39" i="33"/>
  <c r="O39" i="33" s="1"/>
  <c r="H23" i="19" l="1"/>
  <c r="BD31" i="20"/>
  <c r="H49" i="18"/>
  <c r="R22" i="64" s="1"/>
  <c r="J60" i="18"/>
  <c r="F20" i="19"/>
  <c r="K67" i="18"/>
  <c r="H24" i="19" s="1"/>
  <c r="B42" i="21"/>
  <c r="I42" i="21" s="1"/>
  <c r="O42" i="21" s="1"/>
  <c r="D40" i="6" s="1"/>
  <c r="I68" i="55"/>
  <c r="O80" i="55" s="1"/>
  <c r="D40" i="55"/>
  <c r="I39" i="54"/>
  <c r="D39" i="54"/>
  <c r="F37" i="52"/>
  <c r="C40" i="53"/>
  <c r="J40" i="53" s="1"/>
  <c r="P40" i="53" s="1"/>
  <c r="B41" i="53"/>
  <c r="G17" i="19"/>
  <c r="G16" i="19"/>
  <c r="G8" i="19"/>
  <c r="G12" i="19"/>
  <c r="G7" i="19"/>
  <c r="G14" i="19"/>
  <c r="G18" i="19"/>
  <c r="G9" i="19"/>
  <c r="G13" i="19"/>
  <c r="G15" i="19"/>
  <c r="G11" i="19"/>
  <c r="E8" i="20"/>
  <c r="Y11" i="64" s="1"/>
  <c r="G10" i="19"/>
  <c r="E35" i="9"/>
  <c r="D38" i="35"/>
  <c r="I38" i="35"/>
  <c r="D38" i="34"/>
  <c r="I38" i="34"/>
  <c r="O50" i="34" s="1"/>
  <c r="C38" i="37"/>
  <c r="J38" i="37" s="1"/>
  <c r="B39" i="37"/>
  <c r="B40" i="32"/>
  <c r="C39" i="32"/>
  <c r="J39" i="32" s="1"/>
  <c r="I39" i="48"/>
  <c r="O39" i="48" s="1"/>
  <c r="D39" i="48"/>
  <c r="K39" i="33"/>
  <c r="Q39" i="33" s="1"/>
  <c r="E39" i="33"/>
  <c r="I38" i="36"/>
  <c r="D38" i="36"/>
  <c r="B45" i="56"/>
  <c r="C44" i="56"/>
  <c r="K10" i="63" l="1"/>
  <c r="I9" i="64"/>
  <c r="K12" i="63"/>
  <c r="I11" i="64"/>
  <c r="AQ11" i="20"/>
  <c r="K26" i="63"/>
  <c r="J16" i="63"/>
  <c r="D42" i="21"/>
  <c r="E40" i="55"/>
  <c r="K68" i="55"/>
  <c r="Q80" i="55" s="1"/>
  <c r="E39" i="54"/>
  <c r="K39" i="54"/>
  <c r="R39" i="33"/>
  <c r="I41" i="53"/>
  <c r="O41" i="53" s="1"/>
  <c r="D38" i="52" s="1"/>
  <c r="D41" i="53"/>
  <c r="E37" i="52"/>
  <c r="D36" i="9"/>
  <c r="G19" i="19"/>
  <c r="K38" i="35"/>
  <c r="E38" i="35"/>
  <c r="E38" i="34"/>
  <c r="K38" i="34"/>
  <c r="Q50" i="34" s="1"/>
  <c r="D39" i="37"/>
  <c r="I39" i="37"/>
  <c r="I40" i="32"/>
  <c r="D40" i="32"/>
  <c r="K39" i="48"/>
  <c r="Q39" i="48" s="1"/>
  <c r="E39" i="48"/>
  <c r="K38" i="36"/>
  <c r="E38" i="36"/>
  <c r="D45" i="56"/>
  <c r="E45" i="56" s="1"/>
  <c r="C45" i="56" s="1"/>
  <c r="B40" i="33"/>
  <c r="C39" i="33"/>
  <c r="J39" i="33" s="1"/>
  <c r="P39" i="33" s="1"/>
  <c r="R50" i="34" l="1"/>
  <c r="K14" i="63"/>
  <c r="I13" i="64"/>
  <c r="K42" i="21"/>
  <c r="Q42" i="21" s="1"/>
  <c r="F40" i="6" s="1"/>
  <c r="E42" i="21"/>
  <c r="C42" i="21"/>
  <c r="J42" i="21" s="1"/>
  <c r="P42" i="21" s="1"/>
  <c r="E40" i="6" s="1"/>
  <c r="C40" i="55"/>
  <c r="J68" i="55" s="1"/>
  <c r="P80" i="55" s="1"/>
  <c r="B41" i="55"/>
  <c r="C39" i="54"/>
  <c r="J39" i="54" s="1"/>
  <c r="B40" i="54"/>
  <c r="E41" i="53"/>
  <c r="B42" i="53" s="1"/>
  <c r="K41" i="53"/>
  <c r="Q41" i="53" s="1"/>
  <c r="F38" i="52" s="1"/>
  <c r="F36" i="9"/>
  <c r="R39" i="48"/>
  <c r="B39" i="35"/>
  <c r="C38" i="35"/>
  <c r="J38" i="35" s="1"/>
  <c r="B39" i="34"/>
  <c r="C38" i="34"/>
  <c r="J38" i="34" s="1"/>
  <c r="P50" i="34" s="1"/>
  <c r="E39" i="37"/>
  <c r="K39" i="37"/>
  <c r="K40" i="32"/>
  <c r="E40" i="32"/>
  <c r="B40" i="48"/>
  <c r="C39" i="48"/>
  <c r="J39" i="48" s="1"/>
  <c r="P39" i="48" s="1"/>
  <c r="I40" i="33"/>
  <c r="O40" i="33" s="1"/>
  <c r="D40" i="33"/>
  <c r="B46" i="56"/>
  <c r="B39" i="36"/>
  <c r="C38" i="36"/>
  <c r="J38" i="36" s="1"/>
  <c r="C41" i="53" l="1"/>
  <c r="J41" i="53" s="1"/>
  <c r="P41" i="53" s="1"/>
  <c r="E38" i="52" s="1"/>
  <c r="B43" i="21"/>
  <c r="I43" i="21" s="1"/>
  <c r="O43" i="21" s="1"/>
  <c r="D41" i="6" s="1"/>
  <c r="I70" i="55"/>
  <c r="O82" i="55" s="1"/>
  <c r="O8" i="55" s="1"/>
  <c r="D41" i="55"/>
  <c r="I40" i="54"/>
  <c r="D40" i="54"/>
  <c r="I42" i="53"/>
  <c r="O42" i="53" s="1"/>
  <c r="D39" i="52" s="1"/>
  <c r="D42" i="53"/>
  <c r="E36" i="9"/>
  <c r="D39" i="35"/>
  <c r="I39" i="35"/>
  <c r="I39" i="34"/>
  <c r="O51" i="34" s="1"/>
  <c r="D39" i="34"/>
  <c r="C39" i="37"/>
  <c r="J39" i="37" s="1"/>
  <c r="B40" i="37"/>
  <c r="B41" i="32"/>
  <c r="C40" i="32"/>
  <c r="J40" i="32" s="1"/>
  <c r="D40" i="48"/>
  <c r="I40" i="48"/>
  <c r="O40" i="48" s="1"/>
  <c r="D39" i="36"/>
  <c r="I39" i="36"/>
  <c r="D46" i="56"/>
  <c r="E46" i="56" s="1"/>
  <c r="K40" i="33"/>
  <c r="Q40" i="33" s="1"/>
  <c r="E40" i="33"/>
  <c r="D43" i="21" l="1"/>
  <c r="E41" i="55"/>
  <c r="K70" i="55"/>
  <c r="Q82" i="55" s="1"/>
  <c r="Q8" i="55" s="1"/>
  <c r="R8" i="55" s="1"/>
  <c r="E40" i="54"/>
  <c r="K40" i="54"/>
  <c r="R40" i="33"/>
  <c r="E42" i="53"/>
  <c r="K42" i="53"/>
  <c r="Q42" i="53" s="1"/>
  <c r="F39" i="52" s="1"/>
  <c r="D37" i="9"/>
  <c r="K39" i="35"/>
  <c r="E39" i="35"/>
  <c r="K39" i="34"/>
  <c r="Q51" i="34" s="1"/>
  <c r="E39" i="34"/>
  <c r="I40" i="37"/>
  <c r="D40" i="37"/>
  <c r="D41" i="32"/>
  <c r="I41" i="32"/>
  <c r="K40" i="48"/>
  <c r="Q40" i="48" s="1"/>
  <c r="E40" i="48"/>
  <c r="B47" i="56"/>
  <c r="K39" i="36"/>
  <c r="E39" i="36"/>
  <c r="C46" i="56"/>
  <c r="B41" i="33"/>
  <c r="C40" i="33"/>
  <c r="J40" i="33" s="1"/>
  <c r="P40" i="33" s="1"/>
  <c r="R51" i="34" l="1"/>
  <c r="K43" i="21"/>
  <c r="Q43" i="21" s="1"/>
  <c r="F41" i="6" s="1"/>
  <c r="E43" i="21"/>
  <c r="C43" i="21"/>
  <c r="J43" i="21" s="1"/>
  <c r="P43" i="21" s="1"/>
  <c r="E41" i="6" s="1"/>
  <c r="B42" i="55"/>
  <c r="D42" i="55" s="1"/>
  <c r="E42" i="55" s="1"/>
  <c r="C41" i="55"/>
  <c r="J70" i="55" s="1"/>
  <c r="P82" i="55" s="1"/>
  <c r="P8" i="55" s="1"/>
  <c r="C40" i="54"/>
  <c r="J40" i="54" s="1"/>
  <c r="B41" i="54"/>
  <c r="C42" i="53"/>
  <c r="J42" i="53" s="1"/>
  <c r="P42" i="53" s="1"/>
  <c r="E39" i="52" s="1"/>
  <c r="B43" i="53"/>
  <c r="F37" i="9"/>
  <c r="R40" i="48"/>
  <c r="C39" i="35"/>
  <c r="J39" i="35" s="1"/>
  <c r="B40" i="35"/>
  <c r="B40" i="34"/>
  <c r="C39" i="34"/>
  <c r="J39" i="34" s="1"/>
  <c r="P51" i="34" s="1"/>
  <c r="E40" i="37"/>
  <c r="K40" i="37"/>
  <c r="K41" i="32"/>
  <c r="E41" i="32"/>
  <c r="B41" i="48"/>
  <c r="C40" i="48"/>
  <c r="J40" i="48" s="1"/>
  <c r="P40" i="48" s="1"/>
  <c r="B40" i="36"/>
  <c r="C39" i="36"/>
  <c r="J39" i="36" s="1"/>
  <c r="D41" i="33"/>
  <c r="I41" i="33"/>
  <c r="O41" i="33" s="1"/>
  <c r="D47" i="56"/>
  <c r="E47" i="56" s="1"/>
  <c r="B44" i="21" l="1"/>
  <c r="I44" i="21" s="1"/>
  <c r="O44" i="21" s="1"/>
  <c r="D42" i="6" s="1"/>
  <c r="C42" i="55"/>
  <c r="B43" i="55"/>
  <c r="I41" i="54"/>
  <c r="D41" i="54"/>
  <c r="I43" i="53"/>
  <c r="O43" i="53" s="1"/>
  <c r="D40" i="52" s="1"/>
  <c r="D43" i="53"/>
  <c r="E37" i="9"/>
  <c r="I40" i="35"/>
  <c r="D40" i="35"/>
  <c r="I40" i="34"/>
  <c r="O52" i="34" s="1"/>
  <c r="D40" i="34"/>
  <c r="C40" i="37"/>
  <c r="J40" i="37" s="1"/>
  <c r="B41" i="37"/>
  <c r="B42" i="32"/>
  <c r="C41" i="32"/>
  <c r="J41" i="32" s="1"/>
  <c r="D41" i="48"/>
  <c r="I41" i="48"/>
  <c r="O41" i="48" s="1"/>
  <c r="D38" i="9" s="1"/>
  <c r="B48" i="56"/>
  <c r="K41" i="33"/>
  <c r="Q41" i="33" s="1"/>
  <c r="R41" i="33" s="1"/>
  <c r="E41" i="33"/>
  <c r="C47" i="56"/>
  <c r="I40" i="36"/>
  <c r="D40" i="36"/>
  <c r="D44" i="21" l="1"/>
  <c r="C44" i="21" s="1"/>
  <c r="J44" i="21" s="1"/>
  <c r="P44" i="21" s="1"/>
  <c r="E42" i="6" s="1"/>
  <c r="D43" i="55"/>
  <c r="E43" i="55" s="1"/>
  <c r="B44" i="55" s="1"/>
  <c r="D44" i="55" s="1"/>
  <c r="E44" i="55" s="1"/>
  <c r="E41" i="54"/>
  <c r="K41" i="54"/>
  <c r="E43" i="53"/>
  <c r="B44" i="53" s="1"/>
  <c r="K43" i="53"/>
  <c r="Q43" i="53" s="1"/>
  <c r="F40" i="52" s="1"/>
  <c r="K40" i="35"/>
  <c r="E40" i="35"/>
  <c r="K40" i="34"/>
  <c r="Q52" i="34" s="1"/>
  <c r="E40" i="34"/>
  <c r="D41" i="37"/>
  <c r="I41" i="37"/>
  <c r="I42" i="32"/>
  <c r="D42" i="32"/>
  <c r="K41" i="48"/>
  <c r="Q41" i="48" s="1"/>
  <c r="E41" i="48"/>
  <c r="K40" i="36"/>
  <c r="E40" i="36"/>
  <c r="B42" i="33"/>
  <c r="C41" i="33"/>
  <c r="J41" i="33" s="1"/>
  <c r="P41" i="33" s="1"/>
  <c r="D48" i="56"/>
  <c r="E48" i="56" s="1"/>
  <c r="C48" i="56" s="1"/>
  <c r="R52" i="34" l="1"/>
  <c r="C43" i="53"/>
  <c r="J43" i="53" s="1"/>
  <c r="P43" i="53" s="1"/>
  <c r="E40" i="52" s="1"/>
  <c r="K44" i="21"/>
  <c r="Q44" i="21" s="1"/>
  <c r="F42" i="6" s="1"/>
  <c r="E44" i="21"/>
  <c r="C44" i="55"/>
  <c r="B45" i="55"/>
  <c r="D45" i="55" s="1"/>
  <c r="E45" i="55" s="1"/>
  <c r="C43" i="55"/>
  <c r="C41" i="54"/>
  <c r="J41" i="54" s="1"/>
  <c r="B42" i="54"/>
  <c r="I44" i="53"/>
  <c r="O44" i="53" s="1"/>
  <c r="D41" i="52" s="1"/>
  <c r="D44" i="53"/>
  <c r="F38" i="9"/>
  <c r="R41" i="48"/>
  <c r="C40" i="35"/>
  <c r="J40" i="35" s="1"/>
  <c r="B41" i="35"/>
  <c r="B41" i="34"/>
  <c r="C40" i="34"/>
  <c r="J40" i="34" s="1"/>
  <c r="P52" i="34" s="1"/>
  <c r="E41" i="37"/>
  <c r="K41" i="37"/>
  <c r="K42" i="32"/>
  <c r="E42" i="32"/>
  <c r="B42" i="48"/>
  <c r="C41" i="48"/>
  <c r="J41" i="48" s="1"/>
  <c r="P41" i="48" s="1"/>
  <c r="E38" i="9" s="1"/>
  <c r="B49" i="56"/>
  <c r="B41" i="36"/>
  <c r="C40" i="36"/>
  <c r="J40" i="36" s="1"/>
  <c r="D42" i="33"/>
  <c r="I42" i="33"/>
  <c r="O42" i="33" s="1"/>
  <c r="B45" i="21" l="1"/>
  <c r="I45" i="21" s="1"/>
  <c r="O45" i="21" s="1"/>
  <c r="D43" i="6" s="1"/>
  <c r="C45" i="55"/>
  <c r="B46" i="55"/>
  <c r="D46" i="55" s="1"/>
  <c r="E46" i="55" s="1"/>
  <c r="I42" i="54"/>
  <c r="D42" i="54"/>
  <c r="E44" i="53"/>
  <c r="K44" i="53"/>
  <c r="Q44" i="53" s="1"/>
  <c r="F41" i="52" s="1"/>
  <c r="D41" i="35"/>
  <c r="I41" i="35"/>
  <c r="D41" i="34"/>
  <c r="I41" i="34"/>
  <c r="O53" i="34" s="1"/>
  <c r="B42" i="37"/>
  <c r="C41" i="37"/>
  <c r="J41" i="37" s="1"/>
  <c r="B43" i="32"/>
  <c r="C42" i="32"/>
  <c r="J42" i="32" s="1"/>
  <c r="D42" i="48"/>
  <c r="I42" i="48"/>
  <c r="O42" i="48" s="1"/>
  <c r="D39" i="9" s="1"/>
  <c r="K42" i="33"/>
  <c r="Q42" i="33" s="1"/>
  <c r="R42" i="33" s="1"/>
  <c r="E42" i="33"/>
  <c r="I41" i="36"/>
  <c r="D41" i="36"/>
  <c r="D49" i="56"/>
  <c r="E49" i="56" s="1"/>
  <c r="D45" i="21" l="1"/>
  <c r="C46" i="55"/>
  <c r="B47" i="55"/>
  <c r="D47" i="55" s="1"/>
  <c r="E47" i="55" s="1"/>
  <c r="E42" i="54"/>
  <c r="K42" i="54"/>
  <c r="C44" i="53"/>
  <c r="J44" i="53" s="1"/>
  <c r="P44" i="53" s="1"/>
  <c r="E41" i="52" s="1"/>
  <c r="B45" i="53"/>
  <c r="K41" i="35"/>
  <c r="E41" i="35"/>
  <c r="E41" i="34"/>
  <c r="K41" i="34"/>
  <c r="Q53" i="34" s="1"/>
  <c r="R53" i="34" s="1"/>
  <c r="I42" i="37"/>
  <c r="D42" i="37"/>
  <c r="D43" i="32"/>
  <c r="I43" i="32"/>
  <c r="K42" i="48"/>
  <c r="Q42" i="48" s="1"/>
  <c r="E42" i="48"/>
  <c r="K41" i="36"/>
  <c r="E41" i="36"/>
  <c r="B43" i="33"/>
  <c r="C42" i="33"/>
  <c r="J42" i="33" s="1"/>
  <c r="P42" i="33" s="1"/>
  <c r="B50" i="56"/>
  <c r="C49" i="56"/>
  <c r="K45" i="21" l="1"/>
  <c r="Q45" i="21" s="1"/>
  <c r="F43" i="6" s="1"/>
  <c r="E45" i="21"/>
  <c r="C45" i="21"/>
  <c r="J45" i="21" s="1"/>
  <c r="P45" i="21" s="1"/>
  <c r="E43" i="6" s="1"/>
  <c r="C47" i="55"/>
  <c r="B48" i="55"/>
  <c r="D48" i="55" s="1"/>
  <c r="E48" i="55" s="1"/>
  <c r="C42" i="54"/>
  <c r="J42" i="54" s="1"/>
  <c r="B43" i="54"/>
  <c r="I45" i="53"/>
  <c r="O45" i="53" s="1"/>
  <c r="D42" i="52" s="1"/>
  <c r="D45" i="53"/>
  <c r="F39" i="9"/>
  <c r="R42" i="48"/>
  <c r="B42" i="35"/>
  <c r="C41" i="35"/>
  <c r="J41" i="35" s="1"/>
  <c r="B42" i="34"/>
  <c r="C41" i="34"/>
  <c r="J41" i="34" s="1"/>
  <c r="P53" i="34" s="1"/>
  <c r="E42" i="37"/>
  <c r="K42" i="37"/>
  <c r="K43" i="32"/>
  <c r="E43" i="32"/>
  <c r="B43" i="48"/>
  <c r="C42" i="48"/>
  <c r="J42" i="48" s="1"/>
  <c r="P42" i="48" s="1"/>
  <c r="E39" i="9" s="1"/>
  <c r="I43" i="33"/>
  <c r="O43" i="33" s="1"/>
  <c r="D43" i="33"/>
  <c r="B42" i="36"/>
  <c r="C41" i="36"/>
  <c r="J41" i="36" s="1"/>
  <c r="D50" i="56"/>
  <c r="E50" i="56" s="1"/>
  <c r="B46" i="21" l="1"/>
  <c r="I46" i="21" s="1"/>
  <c r="O46" i="21" s="1"/>
  <c r="C48" i="55"/>
  <c r="B49" i="55"/>
  <c r="D49" i="55" s="1"/>
  <c r="E49" i="55" s="1"/>
  <c r="I43" i="54"/>
  <c r="D43" i="54"/>
  <c r="E45" i="53"/>
  <c r="K45" i="53"/>
  <c r="Q45" i="53" s="1"/>
  <c r="F42" i="52" s="1"/>
  <c r="D42" i="35"/>
  <c r="I42" i="35"/>
  <c r="D42" i="34"/>
  <c r="I42" i="34"/>
  <c r="O54" i="34" s="1"/>
  <c r="B43" i="37"/>
  <c r="C42" i="37"/>
  <c r="J42" i="37" s="1"/>
  <c r="B44" i="32"/>
  <c r="C43" i="32"/>
  <c r="J43" i="32" s="1"/>
  <c r="I43" i="48"/>
  <c r="O43" i="48" s="1"/>
  <c r="D40" i="9" s="1"/>
  <c r="D43" i="48"/>
  <c r="I42" i="36"/>
  <c r="D42" i="36"/>
  <c r="B51" i="56"/>
  <c r="K43" i="33"/>
  <c r="Q43" i="33" s="1"/>
  <c r="R43" i="33" s="1"/>
  <c r="E43" i="33"/>
  <c r="C50" i="56"/>
  <c r="D46" i="21" l="1"/>
  <c r="K46" i="21" s="1"/>
  <c r="Q46" i="21" s="1"/>
  <c r="D44" i="6"/>
  <c r="I11" i="6" s="1"/>
  <c r="J33" i="18" s="1"/>
  <c r="X21" i="18" s="1"/>
  <c r="O5" i="21"/>
  <c r="C49" i="55"/>
  <c r="B50" i="55"/>
  <c r="E43" i="54"/>
  <c r="K43" i="54"/>
  <c r="C45" i="53"/>
  <c r="J45" i="53" s="1"/>
  <c r="P45" i="53" s="1"/>
  <c r="E42" i="52" s="1"/>
  <c r="B46" i="53"/>
  <c r="K42" i="35"/>
  <c r="E42" i="35"/>
  <c r="K42" i="34"/>
  <c r="Q54" i="34" s="1"/>
  <c r="R54" i="34" s="1"/>
  <c r="E42" i="34"/>
  <c r="D43" i="37"/>
  <c r="I43" i="37"/>
  <c r="D44" i="32"/>
  <c r="I44" i="32"/>
  <c r="K43" i="48"/>
  <c r="Q43" i="48" s="1"/>
  <c r="E43" i="48"/>
  <c r="D51" i="56"/>
  <c r="E51" i="56" s="1"/>
  <c r="C51" i="56" s="1"/>
  <c r="B44" i="33"/>
  <c r="C43" i="33"/>
  <c r="J43" i="33" s="1"/>
  <c r="P43" i="33" s="1"/>
  <c r="K42" i="36"/>
  <c r="E42" i="36"/>
  <c r="X23" i="18" l="1"/>
  <c r="Y21" i="18"/>
  <c r="C46" i="21"/>
  <c r="J46" i="21" s="1"/>
  <c r="P46" i="21" s="1"/>
  <c r="E44" i="6" s="1"/>
  <c r="J11" i="6" s="1"/>
  <c r="F46" i="21"/>
  <c r="S4" i="21" s="1"/>
  <c r="E46" i="21"/>
  <c r="B47" i="21" s="1"/>
  <c r="I47" i="21" s="1"/>
  <c r="O47" i="21" s="1"/>
  <c r="J37" i="18"/>
  <c r="K33" i="18"/>
  <c r="K52" i="18" s="1"/>
  <c r="J35" i="18"/>
  <c r="F44" i="6"/>
  <c r="K11" i="6" s="1"/>
  <c r="Q5" i="21"/>
  <c r="D50" i="55"/>
  <c r="E50" i="55" s="1"/>
  <c r="B51" i="55" s="1"/>
  <c r="D51" i="55" s="1"/>
  <c r="E51" i="55" s="1"/>
  <c r="C43" i="54"/>
  <c r="J43" i="54" s="1"/>
  <c r="B44" i="54"/>
  <c r="I46" i="53"/>
  <c r="O46" i="53" s="1"/>
  <c r="D43" i="52" s="1"/>
  <c r="D46" i="53"/>
  <c r="F40" i="9"/>
  <c r="R43" i="48"/>
  <c r="B43" i="35"/>
  <c r="C42" i="35"/>
  <c r="J42" i="35" s="1"/>
  <c r="C42" i="34"/>
  <c r="J42" i="34" s="1"/>
  <c r="P54" i="34" s="1"/>
  <c r="B43" i="34"/>
  <c r="E43" i="37"/>
  <c r="K43" i="37"/>
  <c r="K44" i="32"/>
  <c r="E44" i="32"/>
  <c r="B44" i="48"/>
  <c r="C43" i="48"/>
  <c r="J43" i="48" s="1"/>
  <c r="P43" i="48" s="1"/>
  <c r="E40" i="9" s="1"/>
  <c r="I44" i="33"/>
  <c r="O44" i="33" s="1"/>
  <c r="D44" i="33"/>
  <c r="B52" i="56"/>
  <c r="B43" i="36"/>
  <c r="C42" i="36"/>
  <c r="J42" i="36" s="1"/>
  <c r="T4" i="21" l="1"/>
  <c r="X12" i="7" s="1"/>
  <c r="N10" i="6" s="1"/>
  <c r="Y23" i="18"/>
  <c r="X25" i="18"/>
  <c r="P5" i="21"/>
  <c r="D45" i="6"/>
  <c r="R5" i="21"/>
  <c r="L37" i="18"/>
  <c r="J38" i="18"/>
  <c r="K37" i="18"/>
  <c r="W12" i="7"/>
  <c r="M10" i="6" s="1"/>
  <c r="D47" i="21"/>
  <c r="L35" i="18"/>
  <c r="K35" i="18"/>
  <c r="AG17" i="20" s="1"/>
  <c r="AF17" i="20"/>
  <c r="C51" i="55"/>
  <c r="B52" i="55"/>
  <c r="D52" i="55" s="1"/>
  <c r="E52" i="55" s="1"/>
  <c r="C52" i="55" s="1"/>
  <c r="C50" i="55"/>
  <c r="I44" i="54"/>
  <c r="D44" i="54"/>
  <c r="E46" i="53"/>
  <c r="K46" i="53"/>
  <c r="Q46" i="53" s="1"/>
  <c r="F43" i="52" s="1"/>
  <c r="D43" i="35"/>
  <c r="I43" i="35"/>
  <c r="D43" i="34"/>
  <c r="I43" i="34"/>
  <c r="O55" i="34" s="1"/>
  <c r="B44" i="37"/>
  <c r="C43" i="37"/>
  <c r="J43" i="37" s="1"/>
  <c r="B45" i="32"/>
  <c r="C44" i="32"/>
  <c r="J44" i="32" s="1"/>
  <c r="D44" i="48"/>
  <c r="I44" i="48"/>
  <c r="O44" i="48" s="1"/>
  <c r="D41" i="9" s="1"/>
  <c r="I43" i="36"/>
  <c r="D43" i="36"/>
  <c r="K44" i="33"/>
  <c r="Q44" i="33" s="1"/>
  <c r="R44" i="33" s="1"/>
  <c r="E44" i="33"/>
  <c r="D52" i="56"/>
  <c r="E52" i="56" s="1"/>
  <c r="C52" i="56" s="1"/>
  <c r="U4" i="21" l="1"/>
  <c r="Y12" i="7" s="1"/>
  <c r="X29" i="18"/>
  <c r="Y29" i="18" s="1"/>
  <c r="Y25" i="18"/>
  <c r="K47" i="21"/>
  <c r="Q47" i="21" s="1"/>
  <c r="E47" i="21"/>
  <c r="C47" i="21"/>
  <c r="J47" i="21" s="1"/>
  <c r="P47" i="21" s="1"/>
  <c r="AF18" i="20"/>
  <c r="L38" i="18"/>
  <c r="K38" i="18"/>
  <c r="AG18" i="20" s="1"/>
  <c r="V13" i="7"/>
  <c r="L11" i="6"/>
  <c r="H42" i="19" s="1"/>
  <c r="F30" i="19"/>
  <c r="O10" i="6"/>
  <c r="B53" i="55"/>
  <c r="E44" i="54"/>
  <c r="K44" i="54"/>
  <c r="C46" i="53"/>
  <c r="J46" i="53" s="1"/>
  <c r="P46" i="53" s="1"/>
  <c r="E43" i="52" s="1"/>
  <c r="B47" i="53"/>
  <c r="K43" i="35"/>
  <c r="E43" i="35"/>
  <c r="E43" i="34"/>
  <c r="K43" i="34"/>
  <c r="Q55" i="34" s="1"/>
  <c r="R55" i="34" s="1"/>
  <c r="D44" i="37"/>
  <c r="I44" i="37"/>
  <c r="D45" i="32"/>
  <c r="I45" i="32"/>
  <c r="K44" i="48"/>
  <c r="Q44" i="48" s="1"/>
  <c r="E44" i="48"/>
  <c r="B45" i="33"/>
  <c r="C44" i="33"/>
  <c r="J44" i="33" s="1"/>
  <c r="P44" i="33" s="1"/>
  <c r="B53" i="56"/>
  <c r="K43" i="36"/>
  <c r="E43" i="36"/>
  <c r="D53" i="55"/>
  <c r="E53" i="55" s="1"/>
  <c r="C53" i="55" s="1"/>
  <c r="F45" i="6" l="1"/>
  <c r="E45" i="6"/>
  <c r="B48" i="21"/>
  <c r="I48" i="21" s="1"/>
  <c r="O48" i="21" s="1"/>
  <c r="C44" i="54"/>
  <c r="J44" i="54" s="1"/>
  <c r="B45" i="54"/>
  <c r="I47" i="53"/>
  <c r="O47" i="53" s="1"/>
  <c r="D47" i="53"/>
  <c r="F41" i="9"/>
  <c r="R44" i="48"/>
  <c r="B44" i="35"/>
  <c r="C43" i="35"/>
  <c r="J43" i="35" s="1"/>
  <c r="B44" i="34"/>
  <c r="C43" i="34"/>
  <c r="J43" i="34" s="1"/>
  <c r="P55" i="34" s="1"/>
  <c r="K44" i="37"/>
  <c r="E44" i="37"/>
  <c r="K45" i="32"/>
  <c r="E45" i="32"/>
  <c r="B45" i="48"/>
  <c r="C44" i="48"/>
  <c r="J44" i="48" s="1"/>
  <c r="P44" i="48" s="1"/>
  <c r="E41" i="9" s="1"/>
  <c r="D45" i="33"/>
  <c r="I45" i="33"/>
  <c r="O45" i="33" s="1"/>
  <c r="D53" i="56"/>
  <c r="E53" i="56" s="1"/>
  <c r="B54" i="55"/>
  <c r="B44" i="36"/>
  <c r="C43" i="36"/>
  <c r="J43" i="36" s="1"/>
  <c r="D46" i="6" l="1"/>
  <c r="D48" i="21"/>
  <c r="C48" i="21" s="1"/>
  <c r="J48" i="21" s="1"/>
  <c r="P48" i="21" s="1"/>
  <c r="I45" i="54"/>
  <c r="D45" i="54"/>
  <c r="E47" i="53"/>
  <c r="K47" i="53"/>
  <c r="Q47" i="53" s="1"/>
  <c r="D44" i="52"/>
  <c r="I11" i="52" s="1"/>
  <c r="O5" i="53"/>
  <c r="D44" i="35"/>
  <c r="I44" i="35"/>
  <c r="D44" i="34"/>
  <c r="I44" i="34"/>
  <c r="O56" i="34" s="1"/>
  <c r="B45" i="37"/>
  <c r="C44" i="37"/>
  <c r="J44" i="37" s="1"/>
  <c r="B46" i="32"/>
  <c r="C45" i="32"/>
  <c r="J45" i="32" s="1"/>
  <c r="D45" i="48"/>
  <c r="I45" i="48"/>
  <c r="O45" i="48" s="1"/>
  <c r="D42" i="9" s="1"/>
  <c r="D54" i="55"/>
  <c r="E54" i="55" s="1"/>
  <c r="B54" i="56"/>
  <c r="D44" i="36"/>
  <c r="I44" i="36"/>
  <c r="C53" i="56"/>
  <c r="K45" i="33"/>
  <c r="Q45" i="33" s="1"/>
  <c r="R45" i="33" s="1"/>
  <c r="E45" i="33"/>
  <c r="E46" i="6" l="1"/>
  <c r="K48" i="21"/>
  <c r="Q48" i="21" s="1"/>
  <c r="E48" i="21"/>
  <c r="E45" i="54"/>
  <c r="K45" i="54"/>
  <c r="F44" i="52"/>
  <c r="K11" i="52" s="1"/>
  <c r="Q5" i="53"/>
  <c r="C47" i="53"/>
  <c r="J47" i="53" s="1"/>
  <c r="P47" i="53" s="1"/>
  <c r="B48" i="53"/>
  <c r="E44" i="35"/>
  <c r="K44" i="35"/>
  <c r="E44" i="34"/>
  <c r="K44" i="34"/>
  <c r="Q56" i="34" s="1"/>
  <c r="R56" i="34" s="1"/>
  <c r="I45" i="37"/>
  <c r="D45" i="37"/>
  <c r="D46" i="32"/>
  <c r="I46" i="32"/>
  <c r="K45" i="48"/>
  <c r="Q45" i="48" s="1"/>
  <c r="E45" i="48"/>
  <c r="D54" i="56"/>
  <c r="E54" i="56" s="1"/>
  <c r="C54" i="56" s="1"/>
  <c r="B46" i="33"/>
  <c r="C45" i="33"/>
  <c r="J45" i="33" s="1"/>
  <c r="P45" i="33" s="1"/>
  <c r="B55" i="55"/>
  <c r="K44" i="36"/>
  <c r="E44" i="36"/>
  <c r="C54" i="55"/>
  <c r="F46" i="6" l="1"/>
  <c r="B49" i="21"/>
  <c r="I49" i="21" s="1"/>
  <c r="O49" i="21" s="1"/>
  <c r="C45" i="54"/>
  <c r="J45" i="54" s="1"/>
  <c r="B46" i="54"/>
  <c r="I48" i="53"/>
  <c r="O48" i="53" s="1"/>
  <c r="D48" i="53"/>
  <c r="E44" i="52"/>
  <c r="J11" i="52" s="1"/>
  <c r="P5" i="53"/>
  <c r="R5" i="53"/>
  <c r="L11" i="52" s="1"/>
  <c r="H26" i="19" s="1"/>
  <c r="F42" i="9"/>
  <c r="R45" i="48"/>
  <c r="B45" i="35"/>
  <c r="C44" i="35"/>
  <c r="J44" i="35" s="1"/>
  <c r="B45" i="34"/>
  <c r="C44" i="34"/>
  <c r="J44" i="34" s="1"/>
  <c r="P56" i="34" s="1"/>
  <c r="K45" i="37"/>
  <c r="E45" i="37"/>
  <c r="K46" i="32"/>
  <c r="E46" i="32"/>
  <c r="B46" i="48"/>
  <c r="C45" i="48"/>
  <c r="J45" i="48" s="1"/>
  <c r="P45" i="48" s="1"/>
  <c r="E42" i="9" s="1"/>
  <c r="B45" i="36"/>
  <c r="C44" i="36"/>
  <c r="J44" i="36" s="1"/>
  <c r="D55" i="55"/>
  <c r="E55" i="55" s="1"/>
  <c r="C55" i="55" s="1"/>
  <c r="I46" i="33"/>
  <c r="O46" i="33" s="1"/>
  <c r="D46" i="33"/>
  <c r="B55" i="56"/>
  <c r="D49" i="21" l="1"/>
  <c r="K49" i="21" s="1"/>
  <c r="Q49" i="21" s="1"/>
  <c r="D47" i="6"/>
  <c r="I46" i="54"/>
  <c r="D46" i="54"/>
  <c r="E48" i="53"/>
  <c r="B49" i="53" s="1"/>
  <c r="K48" i="53"/>
  <c r="Q48" i="53" s="1"/>
  <c r="D45" i="52"/>
  <c r="I45" i="35"/>
  <c r="D45" i="35"/>
  <c r="D45" i="34"/>
  <c r="I45" i="34"/>
  <c r="O57" i="34" s="1"/>
  <c r="B46" i="37"/>
  <c r="C45" i="37"/>
  <c r="J45" i="37" s="1"/>
  <c r="B47" i="32"/>
  <c r="C46" i="32"/>
  <c r="J46" i="32" s="1"/>
  <c r="D46" i="48"/>
  <c r="I46" i="48"/>
  <c r="O46" i="48" s="1"/>
  <c r="D43" i="9" s="1"/>
  <c r="B56" i="55"/>
  <c r="D45" i="36"/>
  <c r="I45" i="36"/>
  <c r="D55" i="56"/>
  <c r="E55" i="56" s="1"/>
  <c r="C55" i="56" s="1"/>
  <c r="K46" i="33"/>
  <c r="Q46" i="33" s="1"/>
  <c r="R46" i="33" s="1"/>
  <c r="E46" i="33"/>
  <c r="C48" i="53" l="1"/>
  <c r="J48" i="53" s="1"/>
  <c r="P48" i="53" s="1"/>
  <c r="E45" i="52" s="1"/>
  <c r="C49" i="21"/>
  <c r="J49" i="21" s="1"/>
  <c r="P49" i="21" s="1"/>
  <c r="E47" i="6" s="1"/>
  <c r="E49" i="21"/>
  <c r="B50" i="21" s="1"/>
  <c r="I50" i="21" s="1"/>
  <c r="O50" i="21" s="1"/>
  <c r="F47" i="6"/>
  <c r="E46" i="54"/>
  <c r="K46" i="54"/>
  <c r="F45" i="52"/>
  <c r="I49" i="53"/>
  <c r="O49" i="53" s="1"/>
  <c r="D49" i="53"/>
  <c r="E45" i="35"/>
  <c r="K45" i="35"/>
  <c r="E45" i="34"/>
  <c r="K45" i="34"/>
  <c r="Q57" i="34" s="1"/>
  <c r="R57" i="34" s="1"/>
  <c r="I46" i="37"/>
  <c r="D46" i="37"/>
  <c r="D47" i="32"/>
  <c r="I47" i="32"/>
  <c r="K46" i="48"/>
  <c r="Q46" i="48" s="1"/>
  <c r="E46" i="48"/>
  <c r="B56" i="56"/>
  <c r="K45" i="36"/>
  <c r="E45" i="36"/>
  <c r="B47" i="33"/>
  <c r="C46" i="33"/>
  <c r="J46" i="33" s="1"/>
  <c r="P46" i="33" s="1"/>
  <c r="D56" i="55"/>
  <c r="E56" i="55" s="1"/>
  <c r="D50" i="21" l="1"/>
  <c r="C50" i="21" s="1"/>
  <c r="J50" i="21" s="1"/>
  <c r="P50" i="21" s="1"/>
  <c r="D48" i="6"/>
  <c r="B47" i="54"/>
  <c r="C46" i="54"/>
  <c r="J46" i="54" s="1"/>
  <c r="E49" i="53"/>
  <c r="K49" i="53"/>
  <c r="Q49" i="53" s="1"/>
  <c r="D46" i="52"/>
  <c r="F43" i="9"/>
  <c r="R46" i="48"/>
  <c r="C45" i="35"/>
  <c r="J45" i="35" s="1"/>
  <c r="B46" i="35"/>
  <c r="C45" i="34"/>
  <c r="J45" i="34" s="1"/>
  <c r="P57" i="34" s="1"/>
  <c r="B46" i="34"/>
  <c r="K46" i="37"/>
  <c r="E46" i="37"/>
  <c r="K47" i="32"/>
  <c r="F47" i="32"/>
  <c r="E47" i="32"/>
  <c r="B47" i="48"/>
  <c r="C46" i="48"/>
  <c r="J46" i="48" s="1"/>
  <c r="P46" i="48" s="1"/>
  <c r="E43" i="9" s="1"/>
  <c r="B57" i="55"/>
  <c r="C56" i="55"/>
  <c r="D56" i="56"/>
  <c r="E56" i="56" s="1"/>
  <c r="C56" i="56" s="1"/>
  <c r="B46" i="36"/>
  <c r="C45" i="36"/>
  <c r="J45" i="36" s="1"/>
  <c r="I47" i="33"/>
  <c r="O47" i="33" s="1"/>
  <c r="O5" i="33" s="1"/>
  <c r="D47" i="33"/>
  <c r="E50" i="21" l="1"/>
  <c r="B51" i="21" s="1"/>
  <c r="I51" i="21" s="1"/>
  <c r="O51" i="21" s="1"/>
  <c r="K50" i="21"/>
  <c r="Q50" i="21" s="1"/>
  <c r="F48" i="6" s="1"/>
  <c r="E48" i="6"/>
  <c r="I47" i="54"/>
  <c r="D47" i="54"/>
  <c r="F46" i="52"/>
  <c r="C49" i="53"/>
  <c r="J49" i="53" s="1"/>
  <c r="P49" i="53" s="1"/>
  <c r="B50" i="53"/>
  <c r="D46" i="35"/>
  <c r="I46" i="35"/>
  <c r="D46" i="34"/>
  <c r="I46" i="34"/>
  <c r="O58" i="34" s="1"/>
  <c r="B47" i="37"/>
  <c r="C46" i="37"/>
  <c r="J46" i="37" s="1"/>
  <c r="B48" i="32"/>
  <c r="C47" i="32"/>
  <c r="J47" i="32" s="1"/>
  <c r="D47" i="48"/>
  <c r="I47" i="48"/>
  <c r="O47" i="48" s="1"/>
  <c r="K47" i="33"/>
  <c r="Q47" i="33" s="1"/>
  <c r="F47" i="33"/>
  <c r="E47" i="33"/>
  <c r="B57" i="56"/>
  <c r="I46" i="36"/>
  <c r="D46" i="36"/>
  <c r="D57" i="55"/>
  <c r="E57" i="55" s="1"/>
  <c r="D51" i="21" l="1"/>
  <c r="K51" i="21" s="1"/>
  <c r="Q51" i="21" s="1"/>
  <c r="D49" i="6"/>
  <c r="E47" i="54"/>
  <c r="K47" i="54"/>
  <c r="S47" i="33"/>
  <c r="Q5" i="33"/>
  <c r="R47" i="33"/>
  <c r="I50" i="53"/>
  <c r="O50" i="53" s="1"/>
  <c r="D50" i="53"/>
  <c r="E46" i="52"/>
  <c r="D44" i="9"/>
  <c r="I11" i="9" s="1"/>
  <c r="O5" i="48"/>
  <c r="E46" i="35"/>
  <c r="K46" i="35"/>
  <c r="K46" i="34"/>
  <c r="Q58" i="34" s="1"/>
  <c r="R58" i="34" s="1"/>
  <c r="E46" i="34"/>
  <c r="D47" i="37"/>
  <c r="I47" i="37"/>
  <c r="D48" i="32"/>
  <c r="I48" i="32"/>
  <c r="K47" i="48"/>
  <c r="Q47" i="48" s="1"/>
  <c r="F47" i="48"/>
  <c r="E47" i="48"/>
  <c r="B58" i="55"/>
  <c r="D57" i="56"/>
  <c r="E57" i="56" s="1"/>
  <c r="B48" i="33"/>
  <c r="C47" i="33"/>
  <c r="J47" i="33" s="1"/>
  <c r="P47" i="33" s="1"/>
  <c r="P5" i="33" s="1"/>
  <c r="K46" i="36"/>
  <c r="E46" i="36"/>
  <c r="C57" i="55"/>
  <c r="C51" i="21" l="1"/>
  <c r="J51" i="21" s="1"/>
  <c r="P51" i="21" s="1"/>
  <c r="E49" i="6" s="1"/>
  <c r="E51" i="21"/>
  <c r="B52" i="21" s="1"/>
  <c r="I52" i="21" s="1"/>
  <c r="O52" i="21" s="1"/>
  <c r="D50" i="6" s="1"/>
  <c r="F49" i="6"/>
  <c r="B48" i="54"/>
  <c r="C47" i="54"/>
  <c r="J47" i="54" s="1"/>
  <c r="T4" i="33"/>
  <c r="S4" i="33"/>
  <c r="R5" i="33"/>
  <c r="E50" i="53"/>
  <c r="B51" i="53" s="1"/>
  <c r="K50" i="53"/>
  <c r="Q50" i="53" s="1"/>
  <c r="D47" i="52"/>
  <c r="F44" i="9"/>
  <c r="K11" i="9" s="1"/>
  <c r="S47" i="48"/>
  <c r="Q5" i="48"/>
  <c r="R47" i="48"/>
  <c r="C46" i="35"/>
  <c r="J46" i="35" s="1"/>
  <c r="B47" i="35"/>
  <c r="B47" i="34"/>
  <c r="C46" i="34"/>
  <c r="J46" i="34" s="1"/>
  <c r="P58" i="34" s="1"/>
  <c r="K47" i="37"/>
  <c r="F47" i="37"/>
  <c r="E47" i="37"/>
  <c r="K48" i="32"/>
  <c r="E48" i="32"/>
  <c r="B48" i="48"/>
  <c r="C47" i="48"/>
  <c r="J47" i="48" s="1"/>
  <c r="P47" i="48" s="1"/>
  <c r="B58" i="56"/>
  <c r="C57" i="56"/>
  <c r="D48" i="33"/>
  <c r="I48" i="33"/>
  <c r="O48" i="33" s="1"/>
  <c r="B47" i="36"/>
  <c r="C46" i="36"/>
  <c r="J46" i="36" s="1"/>
  <c r="D58" i="55"/>
  <c r="E58" i="55" s="1"/>
  <c r="C58" i="55" s="1"/>
  <c r="C50" i="53" l="1"/>
  <c r="J50" i="53" s="1"/>
  <c r="P50" i="53" s="1"/>
  <c r="E47" i="52" s="1"/>
  <c r="D52" i="21"/>
  <c r="K52" i="21" s="1"/>
  <c r="Q52" i="21" s="1"/>
  <c r="F50" i="6" s="1"/>
  <c r="I48" i="54"/>
  <c r="D48" i="54"/>
  <c r="U4" i="33"/>
  <c r="F47" i="52"/>
  <c r="I51" i="53"/>
  <c r="O51" i="53" s="1"/>
  <c r="D51" i="53"/>
  <c r="E44" i="9"/>
  <c r="J11" i="9" s="1"/>
  <c r="J39" i="18" s="1"/>
  <c r="P5" i="48"/>
  <c r="R5" i="48"/>
  <c r="T4" i="48"/>
  <c r="X12" i="32" s="1"/>
  <c r="N10" i="9" s="1"/>
  <c r="S4" i="48"/>
  <c r="D47" i="35"/>
  <c r="I47" i="35"/>
  <c r="I47" i="34"/>
  <c r="O59" i="34" s="1"/>
  <c r="O6" i="34" s="1"/>
  <c r="D47" i="34"/>
  <c r="B48" i="37"/>
  <c r="C47" i="37"/>
  <c r="J47" i="37" s="1"/>
  <c r="B49" i="32"/>
  <c r="C48" i="32"/>
  <c r="J48" i="32" s="1"/>
  <c r="D48" i="48"/>
  <c r="I48" i="48"/>
  <c r="O48" i="48" s="1"/>
  <c r="K48" i="33"/>
  <c r="Q48" i="33" s="1"/>
  <c r="E48" i="33"/>
  <c r="B59" i="55"/>
  <c r="D47" i="36"/>
  <c r="I47" i="36"/>
  <c r="D58" i="56"/>
  <c r="E58" i="56" s="1"/>
  <c r="C58" i="56" s="1"/>
  <c r="X31" i="18" l="1"/>
  <c r="Y31" i="18" s="1"/>
  <c r="F37" i="20"/>
  <c r="F39" i="20" s="1"/>
  <c r="E52" i="21"/>
  <c r="B53" i="21" s="1"/>
  <c r="I53" i="21" s="1"/>
  <c r="O53" i="21" s="1"/>
  <c r="D51" i="6" s="1"/>
  <c r="C52" i="21"/>
  <c r="J52" i="21" s="1"/>
  <c r="P52" i="21" s="1"/>
  <c r="E50" i="6" s="1"/>
  <c r="E48" i="54"/>
  <c r="K48" i="54"/>
  <c r="R48" i="33"/>
  <c r="E51" i="53"/>
  <c r="K51" i="53"/>
  <c r="Q51" i="53" s="1"/>
  <c r="D48" i="52"/>
  <c r="D45" i="9"/>
  <c r="V13" i="32"/>
  <c r="L11" i="9"/>
  <c r="U4" i="48"/>
  <c r="Y12" i="32" s="1"/>
  <c r="W12" i="32"/>
  <c r="M10" i="9" s="1"/>
  <c r="F22" i="20"/>
  <c r="L33" i="18"/>
  <c r="J40" i="18"/>
  <c r="X33" i="18" s="1"/>
  <c r="Y33" i="18" s="1"/>
  <c r="L39" i="18"/>
  <c r="K39" i="18"/>
  <c r="K47" i="35"/>
  <c r="F47" i="35"/>
  <c r="E47" i="35"/>
  <c r="K47" i="34"/>
  <c r="Q59" i="34" s="1"/>
  <c r="E47" i="34"/>
  <c r="F47" i="34"/>
  <c r="I48" i="37"/>
  <c r="D48" i="37"/>
  <c r="D49" i="32"/>
  <c r="I49" i="32"/>
  <c r="K48" i="48"/>
  <c r="Q48" i="48" s="1"/>
  <c r="E48" i="48"/>
  <c r="K47" i="36"/>
  <c r="F47" i="36"/>
  <c r="T7" i="36" s="1"/>
  <c r="E47" i="36"/>
  <c r="B49" i="33"/>
  <c r="C48" i="33"/>
  <c r="J48" i="33" s="1"/>
  <c r="P48" i="33" s="1"/>
  <c r="B59" i="56"/>
  <c r="D59" i="55"/>
  <c r="E59" i="55" s="1"/>
  <c r="S59" i="34" l="1"/>
  <c r="Q6" i="34"/>
  <c r="R59" i="34"/>
  <c r="D53" i="21"/>
  <c r="K53" i="21" s="1"/>
  <c r="Q53" i="21" s="1"/>
  <c r="F51" i="6" s="1"/>
  <c r="B49" i="54"/>
  <c r="C48" i="54"/>
  <c r="J48" i="54" s="1"/>
  <c r="F48" i="52"/>
  <c r="C51" i="53"/>
  <c r="J51" i="53" s="1"/>
  <c r="P51" i="53" s="1"/>
  <c r="B52" i="53"/>
  <c r="F45" i="9"/>
  <c r="R48" i="48"/>
  <c r="AR32" i="20"/>
  <c r="J41" i="18"/>
  <c r="K40" i="18"/>
  <c r="L40" i="18"/>
  <c r="O10" i="9"/>
  <c r="F29" i="19"/>
  <c r="F33" i="19"/>
  <c r="B48" i="35"/>
  <c r="C47" i="35"/>
  <c r="J47" i="35" s="1"/>
  <c r="C47" i="34"/>
  <c r="J47" i="34" s="1"/>
  <c r="P59" i="34" s="1"/>
  <c r="P6" i="34" s="1"/>
  <c r="B48" i="34"/>
  <c r="K48" i="37"/>
  <c r="E48" i="37"/>
  <c r="K49" i="32"/>
  <c r="E49" i="32"/>
  <c r="B49" i="48"/>
  <c r="C48" i="48"/>
  <c r="J48" i="48" s="1"/>
  <c r="P48" i="48" s="1"/>
  <c r="U7" i="36"/>
  <c r="I49" i="33"/>
  <c r="O49" i="33" s="1"/>
  <c r="D49" i="33"/>
  <c r="B60" i="55"/>
  <c r="C59" i="55"/>
  <c r="D59" i="56"/>
  <c r="E59" i="56" s="1"/>
  <c r="C59" i="56" s="1"/>
  <c r="B48" i="36"/>
  <c r="C47" i="36"/>
  <c r="J47" i="36" s="1"/>
  <c r="R6" i="34" l="1"/>
  <c r="T5" i="34"/>
  <c r="S5" i="34"/>
  <c r="E53" i="21"/>
  <c r="B54" i="21" s="1"/>
  <c r="I54" i="21" s="1"/>
  <c r="O54" i="21" s="1"/>
  <c r="D52" i="6" s="1"/>
  <c r="C53" i="21"/>
  <c r="J53" i="21" s="1"/>
  <c r="P53" i="21" s="1"/>
  <c r="E51" i="6" s="1"/>
  <c r="I49" i="54"/>
  <c r="D49" i="54"/>
  <c r="I52" i="53"/>
  <c r="O52" i="53" s="1"/>
  <c r="D52" i="53"/>
  <c r="E48" i="52"/>
  <c r="E45" i="9"/>
  <c r="F28" i="19"/>
  <c r="J18" i="63" s="1"/>
  <c r="J28" i="63" s="1"/>
  <c r="I23" i="64" s="1"/>
  <c r="F41" i="19"/>
  <c r="L41" i="18"/>
  <c r="J44" i="18"/>
  <c r="X37" i="18" s="1"/>
  <c r="Y37" i="18" s="1"/>
  <c r="K41" i="18"/>
  <c r="F32" i="19"/>
  <c r="J20" i="63" s="1"/>
  <c r="AR35" i="20"/>
  <c r="I48" i="35"/>
  <c r="D48" i="35"/>
  <c r="I48" i="34"/>
  <c r="O60" i="34" s="1"/>
  <c r="D48" i="34"/>
  <c r="C48" i="37"/>
  <c r="J48" i="37" s="1"/>
  <c r="B49" i="37"/>
  <c r="B50" i="32"/>
  <c r="C49" i="32"/>
  <c r="J49" i="32" s="1"/>
  <c r="D49" i="48"/>
  <c r="I49" i="48"/>
  <c r="O49" i="48" s="1"/>
  <c r="I48" i="36"/>
  <c r="D48" i="36"/>
  <c r="K49" i="33"/>
  <c r="Q49" i="33" s="1"/>
  <c r="E49" i="33"/>
  <c r="D60" i="55"/>
  <c r="E60" i="55" s="1"/>
  <c r="C60" i="55" s="1"/>
  <c r="B60" i="56"/>
  <c r="U5" i="34" l="1"/>
  <c r="J22" i="63"/>
  <c r="J30" i="63" s="1"/>
  <c r="D54" i="21"/>
  <c r="C54" i="21" s="1"/>
  <c r="J54" i="21" s="1"/>
  <c r="P54" i="21" s="1"/>
  <c r="E52" i="6" s="1"/>
  <c r="E49" i="54"/>
  <c r="K49" i="54"/>
  <c r="R49" i="33"/>
  <c r="E52" i="53"/>
  <c r="K52" i="53"/>
  <c r="Q52" i="53" s="1"/>
  <c r="D49" i="52"/>
  <c r="D46" i="9"/>
  <c r="J45" i="18"/>
  <c r="X39" i="18" s="1"/>
  <c r="Y39" i="18" s="1"/>
  <c r="L44" i="18"/>
  <c r="K44" i="18"/>
  <c r="F45" i="19"/>
  <c r="E28" i="20"/>
  <c r="F44" i="19"/>
  <c r="F39" i="19"/>
  <c r="E21" i="20" s="1"/>
  <c r="K48" i="35"/>
  <c r="E48" i="35"/>
  <c r="K48" i="34"/>
  <c r="Q60" i="34" s="1"/>
  <c r="E48" i="34"/>
  <c r="I49" i="37"/>
  <c r="D49" i="37"/>
  <c r="I50" i="32"/>
  <c r="D50" i="32"/>
  <c r="K49" i="48"/>
  <c r="Q49" i="48" s="1"/>
  <c r="E49" i="48"/>
  <c r="K48" i="36"/>
  <c r="E48" i="36"/>
  <c r="D60" i="56"/>
  <c r="E60" i="56" s="1"/>
  <c r="C60" i="56" s="1"/>
  <c r="B50" i="33"/>
  <c r="C49" i="33"/>
  <c r="J49" i="33" s="1"/>
  <c r="P49" i="33" s="1"/>
  <c r="B61" i="55"/>
  <c r="R60" i="34" l="1"/>
  <c r="J46" i="18"/>
  <c r="K54" i="21"/>
  <c r="Q54" i="21" s="1"/>
  <c r="F52" i="6" s="1"/>
  <c r="E54" i="21"/>
  <c r="B50" i="54"/>
  <c r="C49" i="54"/>
  <c r="J49" i="54" s="1"/>
  <c r="F49" i="52"/>
  <c r="C52" i="53"/>
  <c r="J52" i="53" s="1"/>
  <c r="P52" i="53" s="1"/>
  <c r="B53" i="53"/>
  <c r="G44" i="19"/>
  <c r="F46" i="9"/>
  <c r="R49" i="48"/>
  <c r="E20" i="20"/>
  <c r="G45" i="19"/>
  <c r="M20" i="20"/>
  <c r="G22" i="19"/>
  <c r="G34" i="19"/>
  <c r="G28" i="19"/>
  <c r="M26" i="20"/>
  <c r="G24" i="19"/>
  <c r="E19" i="20"/>
  <c r="Y15" i="64" s="1"/>
  <c r="G26" i="19"/>
  <c r="Y17" i="64"/>
  <c r="G30" i="19"/>
  <c r="G38" i="19"/>
  <c r="G23" i="19"/>
  <c r="G27" i="19"/>
  <c r="G36" i="19"/>
  <c r="E10" i="20"/>
  <c r="G20" i="19"/>
  <c r="G25" i="19"/>
  <c r="G41" i="19"/>
  <c r="G33" i="19"/>
  <c r="E6" i="20"/>
  <c r="Y9" i="64" s="1"/>
  <c r="G42" i="19"/>
  <c r="G35" i="19"/>
  <c r="G32" i="19"/>
  <c r="K20" i="63" s="1"/>
  <c r="G31" i="19"/>
  <c r="M25" i="20"/>
  <c r="M21" i="20"/>
  <c r="G37" i="19"/>
  <c r="G21" i="19"/>
  <c r="G29" i="19"/>
  <c r="M19" i="20"/>
  <c r="E15" i="20"/>
  <c r="Y13" i="64" s="1"/>
  <c r="M15" i="20"/>
  <c r="E16" i="20"/>
  <c r="M16" i="20"/>
  <c r="M14" i="20"/>
  <c r="E14" i="20"/>
  <c r="F47" i="19"/>
  <c r="K45" i="18"/>
  <c r="L45" i="18"/>
  <c r="H38" i="19"/>
  <c r="B49" i="35"/>
  <c r="C48" i="35"/>
  <c r="J48" i="35" s="1"/>
  <c r="C48" i="34"/>
  <c r="J48" i="34" s="1"/>
  <c r="P60" i="34" s="1"/>
  <c r="B49" i="34"/>
  <c r="K49" i="37"/>
  <c r="E49" i="37"/>
  <c r="K50" i="32"/>
  <c r="E50" i="32"/>
  <c r="B50" i="48"/>
  <c r="C49" i="48"/>
  <c r="J49" i="48" s="1"/>
  <c r="P49" i="48" s="1"/>
  <c r="B61" i="56"/>
  <c r="B49" i="36"/>
  <c r="C48" i="36"/>
  <c r="J48" i="36" s="1"/>
  <c r="D61" i="55"/>
  <c r="E61" i="55" s="1"/>
  <c r="C61" i="55" s="1"/>
  <c r="D50" i="33"/>
  <c r="I50" i="33"/>
  <c r="O50" i="33" s="1"/>
  <c r="X41" i="18" l="1"/>
  <c r="Y41" i="18" s="1"/>
  <c r="J49" i="18"/>
  <c r="AF23" i="20" s="1"/>
  <c r="N65" i="18"/>
  <c r="L46" i="18"/>
  <c r="K46" i="18"/>
  <c r="AG20" i="20" s="1"/>
  <c r="N63" i="18"/>
  <c r="H25" i="19"/>
  <c r="M60" i="18" s="1"/>
  <c r="N66" i="18"/>
  <c r="K16" i="63"/>
  <c r="I18" i="64"/>
  <c r="K18" i="63"/>
  <c r="I20" i="64"/>
  <c r="N62" i="18"/>
  <c r="N64" i="18"/>
  <c r="AF20" i="20"/>
  <c r="B55" i="21"/>
  <c r="I55" i="21" s="1"/>
  <c r="O55" i="21" s="1"/>
  <c r="D53" i="6" s="1"/>
  <c r="I50" i="54"/>
  <c r="D50" i="54"/>
  <c r="I53" i="53"/>
  <c r="O53" i="53" s="1"/>
  <c r="D50" i="52" s="1"/>
  <c r="D53" i="53"/>
  <c r="E49" i="52"/>
  <c r="E46" i="9"/>
  <c r="AQ14" i="20"/>
  <c r="G39" i="19"/>
  <c r="D49" i="35"/>
  <c r="I49" i="35"/>
  <c r="D49" i="34"/>
  <c r="I49" i="34"/>
  <c r="O61" i="34" s="1"/>
  <c r="B50" i="37"/>
  <c r="C49" i="37"/>
  <c r="J49" i="37" s="1"/>
  <c r="B51" i="32"/>
  <c r="C50" i="32"/>
  <c r="J50" i="32" s="1"/>
  <c r="D50" i="48"/>
  <c r="I50" i="48"/>
  <c r="O50" i="48" s="1"/>
  <c r="D61" i="56"/>
  <c r="E61" i="56" s="1"/>
  <c r="C61" i="56" s="1"/>
  <c r="D49" i="36"/>
  <c r="I49" i="36"/>
  <c r="B62" i="55"/>
  <c r="K50" i="33"/>
  <c r="Q50" i="33" s="1"/>
  <c r="E50" i="33"/>
  <c r="J23" i="19" l="1"/>
  <c r="BD32" i="20"/>
  <c r="K49" i="18"/>
  <c r="AG23" i="20" s="1"/>
  <c r="K28" i="63"/>
  <c r="I24" i="64" s="1"/>
  <c r="K22" i="63"/>
  <c r="K30" i="63" s="1"/>
  <c r="H20" i="19"/>
  <c r="AR14" i="20" s="1"/>
  <c r="I16" i="64"/>
  <c r="N67" i="18"/>
  <c r="J24" i="19" s="1"/>
  <c r="D55" i="21"/>
  <c r="C55" i="21" s="1"/>
  <c r="J55" i="21" s="1"/>
  <c r="P55" i="21" s="1"/>
  <c r="E53" i="6" s="1"/>
  <c r="E50" i="54"/>
  <c r="K50" i="54"/>
  <c r="R50" i="33"/>
  <c r="E53" i="53"/>
  <c r="B54" i="53" s="1"/>
  <c r="K53" i="53"/>
  <c r="Q53" i="53" s="1"/>
  <c r="F50" i="52" s="1"/>
  <c r="D47" i="9"/>
  <c r="K49" i="35"/>
  <c r="E49" i="35"/>
  <c r="K49" i="34"/>
  <c r="Q61" i="34" s="1"/>
  <c r="E49" i="34"/>
  <c r="D50" i="37"/>
  <c r="I50" i="37"/>
  <c r="D51" i="32"/>
  <c r="I51" i="32"/>
  <c r="K50" i="48"/>
  <c r="Q50" i="48" s="1"/>
  <c r="E50" i="48"/>
  <c r="D62" i="55"/>
  <c r="E62" i="55" s="1"/>
  <c r="B62" i="56"/>
  <c r="B51" i="33"/>
  <c r="C50" i="33"/>
  <c r="J50" i="33" s="1"/>
  <c r="P50" i="33" s="1"/>
  <c r="K49" i="36"/>
  <c r="E49" i="36"/>
  <c r="R61" i="34" l="1"/>
  <c r="S13" i="19"/>
  <c r="C53" i="53"/>
  <c r="J53" i="53" s="1"/>
  <c r="P53" i="53" s="1"/>
  <c r="E50" i="52" s="1"/>
  <c r="K55" i="21"/>
  <c r="Q55" i="21" s="1"/>
  <c r="F53" i="6" s="1"/>
  <c r="E55" i="21"/>
  <c r="B51" i="54"/>
  <c r="C50" i="54"/>
  <c r="J50" i="54" s="1"/>
  <c r="I54" i="53"/>
  <c r="O54" i="53" s="1"/>
  <c r="D51" i="52" s="1"/>
  <c r="D54" i="53"/>
  <c r="F47" i="9"/>
  <c r="R50" i="48"/>
  <c r="B50" i="35"/>
  <c r="C49" i="35"/>
  <c r="J49" i="35" s="1"/>
  <c r="B50" i="34"/>
  <c r="C49" i="34"/>
  <c r="J49" i="34" s="1"/>
  <c r="P61" i="34" s="1"/>
  <c r="K50" i="37"/>
  <c r="E50" i="37"/>
  <c r="K51" i="32"/>
  <c r="E51" i="32"/>
  <c r="B51" i="48"/>
  <c r="C50" i="48"/>
  <c r="J50" i="48" s="1"/>
  <c r="P50" i="48" s="1"/>
  <c r="B50" i="36"/>
  <c r="C49" i="36"/>
  <c r="J49" i="36" s="1"/>
  <c r="B63" i="55"/>
  <c r="I51" i="33"/>
  <c r="O51" i="33" s="1"/>
  <c r="D51" i="33"/>
  <c r="D62" i="56"/>
  <c r="E62" i="56" s="1"/>
  <c r="C62" i="56" s="1"/>
  <c r="C62" i="55"/>
  <c r="B56" i="21" l="1"/>
  <c r="I56" i="21" s="1"/>
  <c r="O56" i="21" s="1"/>
  <c r="D54" i="6" s="1"/>
  <c r="I51" i="54"/>
  <c r="D51" i="54"/>
  <c r="E54" i="53"/>
  <c r="B55" i="53" s="1"/>
  <c r="K54" i="53"/>
  <c r="Q54" i="53" s="1"/>
  <c r="F51" i="52" s="1"/>
  <c r="E47" i="9"/>
  <c r="I50" i="35"/>
  <c r="D50" i="35"/>
  <c r="I50" i="34"/>
  <c r="O62" i="34" s="1"/>
  <c r="D50" i="34"/>
  <c r="C50" i="37"/>
  <c r="J50" i="37" s="1"/>
  <c r="B51" i="37"/>
  <c r="B52" i="32"/>
  <c r="C51" i="32"/>
  <c r="J51" i="32" s="1"/>
  <c r="I51" i="48"/>
  <c r="O51" i="48" s="1"/>
  <c r="D51" i="48"/>
  <c r="D63" i="55"/>
  <c r="E63" i="55" s="1"/>
  <c r="C63" i="55" s="1"/>
  <c r="B63" i="56"/>
  <c r="K51" i="33"/>
  <c r="Q51" i="33" s="1"/>
  <c r="E51" i="33"/>
  <c r="D50" i="36"/>
  <c r="I50" i="36"/>
  <c r="C54" i="53" l="1"/>
  <c r="J54" i="53" s="1"/>
  <c r="P54" i="53" s="1"/>
  <c r="E51" i="52" s="1"/>
  <c r="D56" i="21"/>
  <c r="E51" i="54"/>
  <c r="K51" i="54"/>
  <c r="R51" i="33"/>
  <c r="I55" i="53"/>
  <c r="O55" i="53" s="1"/>
  <c r="D52" i="52" s="1"/>
  <c r="D55" i="53"/>
  <c r="D48" i="9"/>
  <c r="K50" i="35"/>
  <c r="E50" i="35"/>
  <c r="K50" i="34"/>
  <c r="Q62" i="34" s="1"/>
  <c r="E50" i="34"/>
  <c r="D51" i="37"/>
  <c r="I51" i="37"/>
  <c r="D52" i="32"/>
  <c r="I52" i="32"/>
  <c r="K51" i="48"/>
  <c r="Q51" i="48" s="1"/>
  <c r="E51" i="48"/>
  <c r="B52" i="33"/>
  <c r="C51" i="33"/>
  <c r="J51" i="33" s="1"/>
  <c r="P51" i="33" s="1"/>
  <c r="D63" i="56"/>
  <c r="E63" i="56" s="1"/>
  <c r="C63" i="56" s="1"/>
  <c r="K50" i="36"/>
  <c r="E50" i="36"/>
  <c r="B64" i="55"/>
  <c r="R62" i="34" l="1"/>
  <c r="K56" i="21"/>
  <c r="Q56" i="21" s="1"/>
  <c r="F54" i="6" s="1"/>
  <c r="E56" i="21"/>
  <c r="C56" i="21"/>
  <c r="J56" i="21" s="1"/>
  <c r="P56" i="21" s="1"/>
  <c r="E54" i="6" s="1"/>
  <c r="C51" i="54"/>
  <c r="J51" i="54" s="1"/>
  <c r="B52" i="54"/>
  <c r="E55" i="53"/>
  <c r="B56" i="53" s="1"/>
  <c r="K55" i="53"/>
  <c r="Q55" i="53" s="1"/>
  <c r="F52" i="52" s="1"/>
  <c r="F48" i="9"/>
  <c r="R51" i="48"/>
  <c r="C50" i="35"/>
  <c r="J50" i="35" s="1"/>
  <c r="B51" i="35"/>
  <c r="B51" i="34"/>
  <c r="C50" i="34"/>
  <c r="J50" i="34" s="1"/>
  <c r="P62" i="34" s="1"/>
  <c r="K51" i="37"/>
  <c r="E51" i="37"/>
  <c r="K52" i="32"/>
  <c r="E52" i="32"/>
  <c r="B52" i="48"/>
  <c r="C51" i="48"/>
  <c r="J51" i="48" s="1"/>
  <c r="P51" i="48" s="1"/>
  <c r="B51" i="36"/>
  <c r="C50" i="36"/>
  <c r="J50" i="36" s="1"/>
  <c r="D52" i="33"/>
  <c r="I52" i="33"/>
  <c r="O52" i="33" s="1"/>
  <c r="D64" i="55"/>
  <c r="E64" i="55" s="1"/>
  <c r="B64" i="56"/>
  <c r="C55" i="53" l="1"/>
  <c r="J55" i="53" s="1"/>
  <c r="P55" i="53" s="1"/>
  <c r="E52" i="52" s="1"/>
  <c r="B57" i="21"/>
  <c r="I57" i="21" s="1"/>
  <c r="O57" i="21" s="1"/>
  <c r="D55" i="6" s="1"/>
  <c r="I52" i="54"/>
  <c r="D52" i="54"/>
  <c r="I56" i="53"/>
  <c r="O56" i="53" s="1"/>
  <c r="D53" i="52" s="1"/>
  <c r="D56" i="53"/>
  <c r="E48" i="9"/>
  <c r="D51" i="35"/>
  <c r="I51" i="35"/>
  <c r="I51" i="34"/>
  <c r="O63" i="34" s="1"/>
  <c r="D51" i="34"/>
  <c r="C51" i="37"/>
  <c r="J51" i="37" s="1"/>
  <c r="B52" i="37"/>
  <c r="B53" i="32"/>
  <c r="C52" i="32"/>
  <c r="J52" i="32" s="1"/>
  <c r="I52" i="48"/>
  <c r="O52" i="48" s="1"/>
  <c r="D52" i="48"/>
  <c r="B65" i="55"/>
  <c r="C64" i="55"/>
  <c r="K52" i="33"/>
  <c r="Q52" i="33" s="1"/>
  <c r="E52" i="33"/>
  <c r="D64" i="56"/>
  <c r="E64" i="56" s="1"/>
  <c r="C64" i="56" s="1"/>
  <c r="I51" i="36"/>
  <c r="D51" i="36"/>
  <c r="D57" i="21" l="1"/>
  <c r="C57" i="21" s="1"/>
  <c r="J57" i="21" s="1"/>
  <c r="P57" i="21" s="1"/>
  <c r="E55" i="6" s="1"/>
  <c r="E52" i="54"/>
  <c r="K52" i="54"/>
  <c r="R52" i="33"/>
  <c r="E56" i="53"/>
  <c r="K56" i="53"/>
  <c r="Q56" i="53" s="1"/>
  <c r="F53" i="52" s="1"/>
  <c r="D49" i="9"/>
  <c r="E51" i="35"/>
  <c r="K51" i="35"/>
  <c r="K51" i="34"/>
  <c r="Q63" i="34" s="1"/>
  <c r="E51" i="34"/>
  <c r="D52" i="37"/>
  <c r="I52" i="37"/>
  <c r="I53" i="32"/>
  <c r="D53" i="32"/>
  <c r="K52" i="48"/>
  <c r="Q52" i="48" s="1"/>
  <c r="E52" i="48"/>
  <c r="B65" i="56"/>
  <c r="K51" i="36"/>
  <c r="E51" i="36"/>
  <c r="B53" i="33"/>
  <c r="C52" i="33"/>
  <c r="J52" i="33" s="1"/>
  <c r="P52" i="33" s="1"/>
  <c r="D65" i="55"/>
  <c r="E65" i="55" s="1"/>
  <c r="C65" i="55" s="1"/>
  <c r="R63" i="34" l="1"/>
  <c r="K57" i="21"/>
  <c r="Q57" i="21" s="1"/>
  <c r="F55" i="6" s="1"/>
  <c r="E57" i="21"/>
  <c r="B53" i="54"/>
  <c r="C52" i="54"/>
  <c r="J52" i="54" s="1"/>
  <c r="C56" i="53"/>
  <c r="J56" i="53" s="1"/>
  <c r="P56" i="53" s="1"/>
  <c r="E53" i="52" s="1"/>
  <c r="B57" i="53"/>
  <c r="F49" i="9"/>
  <c r="R52" i="48"/>
  <c r="C51" i="35"/>
  <c r="J51" i="35" s="1"/>
  <c r="B52" i="35"/>
  <c r="B52" i="34"/>
  <c r="C51" i="34"/>
  <c r="J51" i="34" s="1"/>
  <c r="P63" i="34" s="1"/>
  <c r="K52" i="37"/>
  <c r="E52" i="37"/>
  <c r="K53" i="32"/>
  <c r="E53" i="32"/>
  <c r="B53" i="48"/>
  <c r="C52" i="48"/>
  <c r="J52" i="48" s="1"/>
  <c r="P52" i="48" s="1"/>
  <c r="B66" i="55"/>
  <c r="B52" i="36"/>
  <c r="C51" i="36"/>
  <c r="J51" i="36" s="1"/>
  <c r="D65" i="56"/>
  <c r="E65" i="56" s="1"/>
  <c r="C65" i="56" s="1"/>
  <c r="D53" i="33"/>
  <c r="I53" i="33"/>
  <c r="O53" i="33" s="1"/>
  <c r="B58" i="21" l="1"/>
  <c r="I58" i="21" s="1"/>
  <c r="O58" i="21" s="1"/>
  <c r="I53" i="54"/>
  <c r="D53" i="54"/>
  <c r="I57" i="53"/>
  <c r="O57" i="53" s="1"/>
  <c r="D54" i="52" s="1"/>
  <c r="D57" i="53"/>
  <c r="E49" i="9"/>
  <c r="D52" i="35"/>
  <c r="I52" i="35"/>
  <c r="D52" i="34"/>
  <c r="I52" i="34"/>
  <c r="O64" i="34" s="1"/>
  <c r="C52" i="37"/>
  <c r="J52" i="37" s="1"/>
  <c r="B53" i="37"/>
  <c r="B54" i="32"/>
  <c r="C53" i="32"/>
  <c r="J53" i="32" s="1"/>
  <c r="I53" i="48"/>
  <c r="O53" i="48" s="1"/>
  <c r="D50" i="9" s="1"/>
  <c r="D53" i="48"/>
  <c r="I52" i="36"/>
  <c r="D52" i="36"/>
  <c r="K53" i="33"/>
  <c r="Q53" i="33" s="1"/>
  <c r="R53" i="33" s="1"/>
  <c r="E53" i="33"/>
  <c r="B66" i="56"/>
  <c r="D66" i="55"/>
  <c r="E66" i="55" s="1"/>
  <c r="C66" i="55" s="1"/>
  <c r="D56" i="6" l="1"/>
  <c r="I12" i="6" s="1"/>
  <c r="M33" i="18" s="1"/>
  <c r="O6" i="21"/>
  <c r="D58" i="21"/>
  <c r="C58" i="21" s="1"/>
  <c r="J58" i="21" s="1"/>
  <c r="P58" i="21" s="1"/>
  <c r="E53" i="54"/>
  <c r="K53" i="54"/>
  <c r="E57" i="53"/>
  <c r="B58" i="53" s="1"/>
  <c r="K57" i="53"/>
  <c r="Q57" i="53" s="1"/>
  <c r="F54" i="52" s="1"/>
  <c r="E52" i="35"/>
  <c r="K52" i="35"/>
  <c r="E52" i="34"/>
  <c r="K52" i="34"/>
  <c r="Q64" i="34" s="1"/>
  <c r="D53" i="37"/>
  <c r="I53" i="37"/>
  <c r="D54" i="32"/>
  <c r="I54" i="32"/>
  <c r="K53" i="48"/>
  <c r="Q53" i="48" s="1"/>
  <c r="E53" i="48"/>
  <c r="D66" i="56"/>
  <c r="E66" i="56" s="1"/>
  <c r="K52" i="36"/>
  <c r="E52" i="36"/>
  <c r="B67" i="55"/>
  <c r="B54" i="33"/>
  <c r="C53" i="33"/>
  <c r="J53" i="33" s="1"/>
  <c r="P53" i="33" s="1"/>
  <c r="R64" i="34" l="1"/>
  <c r="C57" i="53"/>
  <c r="J57" i="53" s="1"/>
  <c r="P57" i="53" s="1"/>
  <c r="E54" i="52" s="1"/>
  <c r="E56" i="6"/>
  <c r="J12" i="6" s="1"/>
  <c r="P6" i="21"/>
  <c r="M37" i="18"/>
  <c r="M35" i="18"/>
  <c r="N33" i="18"/>
  <c r="N52" i="18" s="1"/>
  <c r="AA21" i="18"/>
  <c r="K58" i="21"/>
  <c r="Q58" i="21" s="1"/>
  <c r="F58" i="21"/>
  <c r="E58" i="21"/>
  <c r="C53" i="54"/>
  <c r="J53" i="54" s="1"/>
  <c r="B54" i="54"/>
  <c r="I58" i="53"/>
  <c r="O58" i="53" s="1"/>
  <c r="D55" i="52" s="1"/>
  <c r="D58" i="53"/>
  <c r="F50" i="9"/>
  <c r="R53" i="48"/>
  <c r="B53" i="35"/>
  <c r="C52" i="35"/>
  <c r="J52" i="35" s="1"/>
  <c r="B53" i="34"/>
  <c r="C52" i="34"/>
  <c r="J52" i="34" s="1"/>
  <c r="P64" i="34" s="1"/>
  <c r="K53" i="37"/>
  <c r="E53" i="37"/>
  <c r="K54" i="32"/>
  <c r="E54" i="32"/>
  <c r="B54" i="48"/>
  <c r="C53" i="48"/>
  <c r="J53" i="48" s="1"/>
  <c r="P53" i="48" s="1"/>
  <c r="E50" i="9" s="1"/>
  <c r="B53" i="36"/>
  <c r="C52" i="36"/>
  <c r="J52" i="36" s="1"/>
  <c r="D67" i="55"/>
  <c r="E67" i="55" s="1"/>
  <c r="B67" i="56"/>
  <c r="I54" i="33"/>
  <c r="O54" i="33" s="1"/>
  <c r="D54" i="33"/>
  <c r="C66" i="56"/>
  <c r="S6" i="21" l="1"/>
  <c r="W14" i="7" s="1"/>
  <c r="M12" i="6" s="1"/>
  <c r="J30" i="19" s="1"/>
  <c r="E59" i="21"/>
  <c r="C59" i="21"/>
  <c r="J59" i="21" s="1"/>
  <c r="P59" i="21" s="1"/>
  <c r="D59" i="21"/>
  <c r="B59" i="21"/>
  <c r="I59" i="21" s="1"/>
  <c r="O59" i="21" s="1"/>
  <c r="T5" i="21"/>
  <c r="S5" i="21"/>
  <c r="W13" i="7" s="1"/>
  <c r="M11" i="6" s="1"/>
  <c r="H30" i="19" s="1"/>
  <c r="N35" i="18"/>
  <c r="AI17" i="20" s="1"/>
  <c r="AH17" i="20"/>
  <c r="O35" i="18"/>
  <c r="F56" i="6"/>
  <c r="K12" i="6" s="1"/>
  <c r="Q6" i="21"/>
  <c r="O37" i="18"/>
  <c r="M38" i="18"/>
  <c r="N37" i="18"/>
  <c r="AA23" i="18"/>
  <c r="AB21" i="18"/>
  <c r="I54" i="54"/>
  <c r="D54" i="54"/>
  <c r="E58" i="53"/>
  <c r="B59" i="53" s="1"/>
  <c r="K58" i="53"/>
  <c r="Q58" i="53" s="1"/>
  <c r="F55" i="52" s="1"/>
  <c r="D53" i="35"/>
  <c r="I53" i="35"/>
  <c r="D53" i="34"/>
  <c r="I53" i="34"/>
  <c r="O65" i="34" s="1"/>
  <c r="B54" i="37"/>
  <c r="C53" i="37"/>
  <c r="J53" i="37" s="1"/>
  <c r="B55" i="32"/>
  <c r="C54" i="32"/>
  <c r="J54" i="32" s="1"/>
  <c r="I54" i="48"/>
  <c r="O54" i="48" s="1"/>
  <c r="D51" i="9" s="1"/>
  <c r="D54" i="48"/>
  <c r="K54" i="33"/>
  <c r="Q54" i="33" s="1"/>
  <c r="R54" i="33" s="1"/>
  <c r="E54" i="33"/>
  <c r="D67" i="56"/>
  <c r="E67" i="56" s="1"/>
  <c r="C67" i="56" s="1"/>
  <c r="B68" i="55"/>
  <c r="I53" i="36"/>
  <c r="D53" i="36"/>
  <c r="C67" i="55"/>
  <c r="C58" i="53" l="1"/>
  <c r="J58" i="53" s="1"/>
  <c r="P58" i="53" s="1"/>
  <c r="E55" i="52" s="1"/>
  <c r="R6" i="21"/>
  <c r="D57" i="6"/>
  <c r="N38" i="18"/>
  <c r="AI18" i="20" s="1"/>
  <c r="AH18" i="20"/>
  <c r="O38" i="18"/>
  <c r="K59" i="21"/>
  <c r="Q59" i="21" s="1"/>
  <c r="E57" i="6"/>
  <c r="AA25" i="18"/>
  <c r="AB23" i="18"/>
  <c r="U5" i="21"/>
  <c r="Y13" i="7" s="1"/>
  <c r="X13" i="7"/>
  <c r="N11" i="6" s="1"/>
  <c r="O11" i="6" s="1"/>
  <c r="C60" i="21"/>
  <c r="J60" i="21" s="1"/>
  <c r="P60" i="21" s="1"/>
  <c r="E58" i="6" s="1"/>
  <c r="D60" i="21"/>
  <c r="K60" i="21" s="1"/>
  <c r="Q60" i="21" s="1"/>
  <c r="F58" i="6" s="1"/>
  <c r="B60" i="21"/>
  <c r="I60" i="21" s="1"/>
  <c r="O60" i="21" s="1"/>
  <c r="D58" i="6" s="1"/>
  <c r="E60" i="21"/>
  <c r="E54" i="54"/>
  <c r="K54" i="54"/>
  <c r="I59" i="53"/>
  <c r="O59" i="53" s="1"/>
  <c r="D59" i="53"/>
  <c r="K53" i="35"/>
  <c r="E53" i="35"/>
  <c r="K53" i="34"/>
  <c r="Q65" i="34" s="1"/>
  <c r="R65" i="34" s="1"/>
  <c r="E53" i="34"/>
  <c r="I54" i="37"/>
  <c r="D54" i="37"/>
  <c r="D55" i="32"/>
  <c r="I55" i="32"/>
  <c r="K54" i="48"/>
  <c r="Q54" i="48" s="1"/>
  <c r="E54" i="48"/>
  <c r="K53" i="36"/>
  <c r="E53" i="36"/>
  <c r="D68" i="55"/>
  <c r="E68" i="55" s="1"/>
  <c r="C68" i="55" s="1"/>
  <c r="B68" i="56"/>
  <c r="B55" i="33"/>
  <c r="C54" i="33"/>
  <c r="J54" i="33" s="1"/>
  <c r="P54" i="33" s="1"/>
  <c r="AB25" i="18" l="1"/>
  <c r="AA29" i="18"/>
  <c r="AB29" i="18" s="1"/>
  <c r="D61" i="21"/>
  <c r="K61" i="21" s="1"/>
  <c r="Q61" i="21" s="1"/>
  <c r="F59" i="6" s="1"/>
  <c r="C61" i="21"/>
  <c r="J61" i="21" s="1"/>
  <c r="P61" i="21" s="1"/>
  <c r="E59" i="6" s="1"/>
  <c r="B61" i="21"/>
  <c r="I61" i="21" s="1"/>
  <c r="O61" i="21" s="1"/>
  <c r="D59" i="6" s="1"/>
  <c r="E61" i="21"/>
  <c r="V14" i="7"/>
  <c r="L12" i="6"/>
  <c r="J42" i="19" s="1"/>
  <c r="F57" i="6"/>
  <c r="C54" i="54"/>
  <c r="J54" i="54" s="1"/>
  <c r="B55" i="54"/>
  <c r="E59" i="53"/>
  <c r="K59" i="53"/>
  <c r="Q59" i="53" s="1"/>
  <c r="D56" i="52"/>
  <c r="I12" i="52" s="1"/>
  <c r="O6" i="53"/>
  <c r="F51" i="9"/>
  <c r="R54" i="48"/>
  <c r="B54" i="35"/>
  <c r="C53" i="35"/>
  <c r="J53" i="35" s="1"/>
  <c r="B54" i="34"/>
  <c r="C53" i="34"/>
  <c r="J53" i="34" s="1"/>
  <c r="P65" i="34" s="1"/>
  <c r="K54" i="37"/>
  <c r="E54" i="37"/>
  <c r="K55" i="32"/>
  <c r="E55" i="32"/>
  <c r="B55" i="48"/>
  <c r="C54" i="48"/>
  <c r="J54" i="48" s="1"/>
  <c r="P54" i="48" s="1"/>
  <c r="E51" i="9" s="1"/>
  <c r="D68" i="56"/>
  <c r="E68" i="56" s="1"/>
  <c r="I55" i="33"/>
  <c r="O55" i="33" s="1"/>
  <c r="D55" i="33"/>
  <c r="B69" i="55"/>
  <c r="B54" i="36"/>
  <c r="C53" i="36"/>
  <c r="J53" i="36" s="1"/>
  <c r="B62" i="21" l="1"/>
  <c r="I62" i="21" s="1"/>
  <c r="O62" i="21" s="1"/>
  <c r="C62" i="21"/>
  <c r="J62" i="21" s="1"/>
  <c r="P62" i="21" s="1"/>
  <c r="E60" i="6" s="1"/>
  <c r="E62" i="21"/>
  <c r="D62" i="21"/>
  <c r="I55" i="54"/>
  <c r="D55" i="54"/>
  <c r="F56" i="52"/>
  <c r="K12" i="52" s="1"/>
  <c r="Q6" i="53"/>
  <c r="C59" i="53"/>
  <c r="J59" i="53" s="1"/>
  <c r="P59" i="53" s="1"/>
  <c r="B60" i="53"/>
  <c r="I54" i="35"/>
  <c r="D54" i="35"/>
  <c r="I54" i="34"/>
  <c r="O66" i="34" s="1"/>
  <c r="D54" i="34"/>
  <c r="C54" i="37"/>
  <c r="J54" i="37" s="1"/>
  <c r="B55" i="37"/>
  <c r="B56" i="32"/>
  <c r="C55" i="32"/>
  <c r="J55" i="32" s="1"/>
  <c r="I55" i="48"/>
  <c r="O55" i="48" s="1"/>
  <c r="D52" i="9" s="1"/>
  <c r="D55" i="48"/>
  <c r="K55" i="33"/>
  <c r="Q55" i="33" s="1"/>
  <c r="R55" i="33" s="1"/>
  <c r="E55" i="33"/>
  <c r="I54" i="36"/>
  <c r="D54" i="36"/>
  <c r="D69" i="55"/>
  <c r="E69" i="55" s="1"/>
  <c r="B69" i="56"/>
  <c r="C68" i="56"/>
  <c r="B63" i="21" l="1"/>
  <c r="I63" i="21" s="1"/>
  <c r="O63" i="21" s="1"/>
  <c r="D61" i="6" s="1"/>
  <c r="D63" i="21"/>
  <c r="K63" i="21" s="1"/>
  <c r="Q63" i="21" s="1"/>
  <c r="F61" i="6" s="1"/>
  <c r="C63" i="21"/>
  <c r="J63" i="21" s="1"/>
  <c r="P63" i="21" s="1"/>
  <c r="E63" i="21"/>
  <c r="D60" i="6"/>
  <c r="K62" i="21"/>
  <c r="Q62" i="21" s="1"/>
  <c r="E55" i="54"/>
  <c r="K55" i="54"/>
  <c r="I60" i="53"/>
  <c r="O60" i="53" s="1"/>
  <c r="D60" i="53"/>
  <c r="E56" i="52"/>
  <c r="J12" i="52" s="1"/>
  <c r="P6" i="53"/>
  <c r="R6" i="53"/>
  <c r="L12" i="52" s="1"/>
  <c r="J26" i="19" s="1"/>
  <c r="E54" i="35"/>
  <c r="K54" i="35"/>
  <c r="K54" i="34"/>
  <c r="Q66" i="34" s="1"/>
  <c r="R66" i="34" s="1"/>
  <c r="E54" i="34"/>
  <c r="I55" i="37"/>
  <c r="D55" i="37"/>
  <c r="I56" i="32"/>
  <c r="D56" i="32"/>
  <c r="K55" i="48"/>
  <c r="Q55" i="48" s="1"/>
  <c r="E55" i="48"/>
  <c r="B70" i="55"/>
  <c r="D69" i="56"/>
  <c r="E69" i="56" s="1"/>
  <c r="C69" i="55"/>
  <c r="B56" i="33"/>
  <c r="C55" i="33"/>
  <c r="J55" i="33" s="1"/>
  <c r="P55" i="33" s="1"/>
  <c r="K54" i="36"/>
  <c r="E54" i="36"/>
  <c r="C64" i="21" l="1"/>
  <c r="J64" i="21" s="1"/>
  <c r="P64" i="21" s="1"/>
  <c r="E62" i="6" s="1"/>
  <c r="B64" i="21"/>
  <c r="I64" i="21" s="1"/>
  <c r="O64" i="21" s="1"/>
  <c r="E64" i="21"/>
  <c r="D64" i="21"/>
  <c r="K64" i="21" s="1"/>
  <c r="Q64" i="21" s="1"/>
  <c r="F62" i="6" s="1"/>
  <c r="F60" i="6"/>
  <c r="E61" i="6"/>
  <c r="C55" i="54"/>
  <c r="J55" i="54" s="1"/>
  <c r="B56" i="54"/>
  <c r="E60" i="53"/>
  <c r="K60" i="53"/>
  <c r="Q60" i="53" s="1"/>
  <c r="D57" i="52"/>
  <c r="F52" i="9"/>
  <c r="R55" i="48"/>
  <c r="C54" i="35"/>
  <c r="J54" i="35" s="1"/>
  <c r="B55" i="35"/>
  <c r="C54" i="34"/>
  <c r="J54" i="34" s="1"/>
  <c r="P66" i="34" s="1"/>
  <c r="B55" i="34"/>
  <c r="K55" i="37"/>
  <c r="E55" i="37"/>
  <c r="K56" i="32"/>
  <c r="E56" i="32"/>
  <c r="B56" i="48"/>
  <c r="C55" i="48"/>
  <c r="J55" i="48" s="1"/>
  <c r="P55" i="48" s="1"/>
  <c r="E52" i="9" s="1"/>
  <c r="B55" i="36"/>
  <c r="C54" i="36"/>
  <c r="J54" i="36" s="1"/>
  <c r="B70" i="56"/>
  <c r="D56" i="33"/>
  <c r="I56" i="33"/>
  <c r="O56" i="33" s="1"/>
  <c r="D70" i="55"/>
  <c r="E70" i="55" s="1"/>
  <c r="C70" i="55" s="1"/>
  <c r="C69" i="56"/>
  <c r="B65" i="21" l="1"/>
  <c r="I65" i="21" s="1"/>
  <c r="O65" i="21" s="1"/>
  <c r="D63" i="6" s="1"/>
  <c r="E65" i="21"/>
  <c r="D65" i="21"/>
  <c r="K65" i="21" s="1"/>
  <c r="Q65" i="21" s="1"/>
  <c r="F63" i="6" s="1"/>
  <c r="C65" i="21"/>
  <c r="J65" i="21" s="1"/>
  <c r="P65" i="21" s="1"/>
  <c r="D62" i="6"/>
  <c r="I56" i="54"/>
  <c r="D56" i="54"/>
  <c r="C60" i="53"/>
  <c r="J60" i="53" s="1"/>
  <c r="P60" i="53" s="1"/>
  <c r="B61" i="53"/>
  <c r="F57" i="52"/>
  <c r="I55" i="35"/>
  <c r="D55" i="35"/>
  <c r="D55" i="34"/>
  <c r="I55" i="34"/>
  <c r="O67" i="34" s="1"/>
  <c r="C55" i="37"/>
  <c r="J55" i="37" s="1"/>
  <c r="B56" i="37"/>
  <c r="B57" i="32"/>
  <c r="C56" i="32"/>
  <c r="J56" i="32" s="1"/>
  <c r="I56" i="48"/>
  <c r="O56" i="48" s="1"/>
  <c r="D53" i="9" s="1"/>
  <c r="D56" i="48"/>
  <c r="B71" i="55"/>
  <c r="I55" i="36"/>
  <c r="D55" i="36"/>
  <c r="K56" i="33"/>
  <c r="Q56" i="33" s="1"/>
  <c r="R56" i="33" s="1"/>
  <c r="E56" i="33"/>
  <c r="D70" i="56"/>
  <c r="E70" i="56" s="1"/>
  <c r="D66" i="21" l="1"/>
  <c r="K66" i="21" s="1"/>
  <c r="Q66" i="21" s="1"/>
  <c r="B66" i="21"/>
  <c r="I66" i="21" s="1"/>
  <c r="O66" i="21" s="1"/>
  <c r="E66" i="21"/>
  <c r="C66" i="21"/>
  <c r="J66" i="21" s="1"/>
  <c r="P66" i="21" s="1"/>
  <c r="E64" i="6" s="1"/>
  <c r="E63" i="6"/>
  <c r="E56" i="54"/>
  <c r="K56" i="54"/>
  <c r="I61" i="53"/>
  <c r="O61" i="53" s="1"/>
  <c r="D61" i="53"/>
  <c r="E57" i="52"/>
  <c r="E55" i="35"/>
  <c r="K55" i="35"/>
  <c r="K55" i="34"/>
  <c r="Q67" i="34" s="1"/>
  <c r="R67" i="34" s="1"/>
  <c r="E55" i="34"/>
  <c r="D56" i="37"/>
  <c r="I56" i="37"/>
  <c r="I57" i="32"/>
  <c r="D57" i="32"/>
  <c r="K56" i="48"/>
  <c r="Q56" i="48" s="1"/>
  <c r="E56" i="48"/>
  <c r="D71" i="55"/>
  <c r="E71" i="55" s="1"/>
  <c r="C71" i="55" s="1"/>
  <c r="B71" i="56"/>
  <c r="C70" i="56"/>
  <c r="B57" i="33"/>
  <c r="C56" i="33"/>
  <c r="J56" i="33" s="1"/>
  <c r="P56" i="33" s="1"/>
  <c r="K55" i="36"/>
  <c r="E55" i="36"/>
  <c r="F64" i="6" l="1"/>
  <c r="B67" i="21"/>
  <c r="I67" i="21" s="1"/>
  <c r="O67" i="21" s="1"/>
  <c r="D65" i="6" s="1"/>
  <c r="E67" i="21"/>
  <c r="C67" i="21"/>
  <c r="J67" i="21" s="1"/>
  <c r="P67" i="21" s="1"/>
  <c r="E65" i="6" s="1"/>
  <c r="D67" i="21"/>
  <c r="K67" i="21" s="1"/>
  <c r="Q67" i="21" s="1"/>
  <c r="F65" i="6" s="1"/>
  <c r="D64" i="6"/>
  <c r="C56" i="54"/>
  <c r="J56" i="54" s="1"/>
  <c r="B57" i="54"/>
  <c r="E61" i="53"/>
  <c r="K61" i="53"/>
  <c r="Q61" i="53" s="1"/>
  <c r="D58" i="52"/>
  <c r="F53" i="9"/>
  <c r="R56" i="48"/>
  <c r="B56" i="35"/>
  <c r="C55" i="35"/>
  <c r="J55" i="35" s="1"/>
  <c r="B56" i="34"/>
  <c r="C55" i="34"/>
  <c r="J55" i="34" s="1"/>
  <c r="P67" i="34" s="1"/>
  <c r="K56" i="37"/>
  <c r="E56" i="37"/>
  <c r="K57" i="32"/>
  <c r="E57" i="32"/>
  <c r="B57" i="48"/>
  <c r="C56" i="48"/>
  <c r="J56" i="48" s="1"/>
  <c r="P56" i="48" s="1"/>
  <c r="E53" i="9" s="1"/>
  <c r="B56" i="36"/>
  <c r="C55" i="36"/>
  <c r="J55" i="36" s="1"/>
  <c r="D71" i="56"/>
  <c r="E71" i="56" s="1"/>
  <c r="C71" i="56" s="1"/>
  <c r="D57" i="33"/>
  <c r="I57" i="33"/>
  <c r="O57" i="33" s="1"/>
  <c r="B72" i="55"/>
  <c r="B68" i="21" l="1"/>
  <c r="I68" i="21" s="1"/>
  <c r="O68" i="21" s="1"/>
  <c r="D66" i="6" s="1"/>
  <c r="C68" i="21"/>
  <c r="J68" i="21" s="1"/>
  <c r="P68" i="21" s="1"/>
  <c r="E66" i="6" s="1"/>
  <c r="E68" i="21"/>
  <c r="D68" i="21"/>
  <c r="K68" i="21" s="1"/>
  <c r="Q68" i="21" s="1"/>
  <c r="F66" i="6" s="1"/>
  <c r="I57" i="54"/>
  <c r="D57" i="54"/>
  <c r="F58" i="52"/>
  <c r="C61" i="53"/>
  <c r="J61" i="53" s="1"/>
  <c r="P61" i="53" s="1"/>
  <c r="B62" i="53"/>
  <c r="I56" i="35"/>
  <c r="D56" i="35"/>
  <c r="D56" i="34"/>
  <c r="I56" i="34"/>
  <c r="O68" i="34" s="1"/>
  <c r="B57" i="37"/>
  <c r="C56" i="37"/>
  <c r="J56" i="37" s="1"/>
  <c r="B58" i="32"/>
  <c r="C57" i="32"/>
  <c r="J57" i="32" s="1"/>
  <c r="I57" i="48"/>
  <c r="O57" i="48" s="1"/>
  <c r="D54" i="9" s="1"/>
  <c r="D57" i="48"/>
  <c r="D72" i="55"/>
  <c r="E72" i="55" s="1"/>
  <c r="K57" i="33"/>
  <c r="Q57" i="33" s="1"/>
  <c r="R57" i="33" s="1"/>
  <c r="E57" i="33"/>
  <c r="I56" i="36"/>
  <c r="D56" i="36"/>
  <c r="B72" i="56"/>
  <c r="B69" i="21" l="1"/>
  <c r="I69" i="21" s="1"/>
  <c r="O69" i="21" s="1"/>
  <c r="D67" i="6" s="1"/>
  <c r="E69" i="21"/>
  <c r="C69" i="21"/>
  <c r="J69" i="21" s="1"/>
  <c r="P69" i="21" s="1"/>
  <c r="E67" i="6" s="1"/>
  <c r="D69" i="21"/>
  <c r="K69" i="21" s="1"/>
  <c r="Q69" i="21" s="1"/>
  <c r="F67" i="6" s="1"/>
  <c r="E57" i="54"/>
  <c r="K57" i="54"/>
  <c r="I62" i="53"/>
  <c r="O62" i="53" s="1"/>
  <c r="D62" i="53"/>
  <c r="E58" i="52"/>
  <c r="K56" i="35"/>
  <c r="E56" i="35"/>
  <c r="K56" i="34"/>
  <c r="Q68" i="34" s="1"/>
  <c r="R68" i="34" s="1"/>
  <c r="E56" i="34"/>
  <c r="D57" i="37"/>
  <c r="I57" i="37"/>
  <c r="D58" i="32"/>
  <c r="I58" i="32"/>
  <c r="K57" i="48"/>
  <c r="Q57" i="48" s="1"/>
  <c r="E57" i="48"/>
  <c r="K56" i="36"/>
  <c r="E56" i="36"/>
  <c r="B73" i="55"/>
  <c r="C72" i="55"/>
  <c r="B58" i="33"/>
  <c r="C57" i="33"/>
  <c r="J57" i="33" s="1"/>
  <c r="P57" i="33" s="1"/>
  <c r="D72" i="56"/>
  <c r="E72" i="56" s="1"/>
  <c r="D70" i="21" l="1"/>
  <c r="B70" i="21"/>
  <c r="I70" i="21" s="1"/>
  <c r="O70" i="21" s="1"/>
  <c r="C70" i="21"/>
  <c r="J70" i="21" s="1"/>
  <c r="P70" i="21" s="1"/>
  <c r="E70" i="21"/>
  <c r="C57" i="54"/>
  <c r="J57" i="54" s="1"/>
  <c r="B58" i="54"/>
  <c r="E62" i="53"/>
  <c r="K62" i="53"/>
  <c r="Q62" i="53" s="1"/>
  <c r="D59" i="52"/>
  <c r="F54" i="9"/>
  <c r="R57" i="48"/>
  <c r="C56" i="35"/>
  <c r="J56" i="35" s="1"/>
  <c r="B57" i="35"/>
  <c r="B57" i="34"/>
  <c r="C56" i="34"/>
  <c r="J56" i="34" s="1"/>
  <c r="P68" i="34" s="1"/>
  <c r="K57" i="37"/>
  <c r="E57" i="37"/>
  <c r="K58" i="32"/>
  <c r="E58" i="32"/>
  <c r="B58" i="48"/>
  <c r="C57" i="48"/>
  <c r="J57" i="48" s="1"/>
  <c r="P57" i="48" s="1"/>
  <c r="E54" i="9" s="1"/>
  <c r="B73" i="56"/>
  <c r="C72" i="56"/>
  <c r="B57" i="36"/>
  <c r="C56" i="36"/>
  <c r="J56" i="36" s="1"/>
  <c r="I58" i="33"/>
  <c r="O58" i="33" s="1"/>
  <c r="D58" i="33"/>
  <c r="D73" i="55"/>
  <c r="E73" i="55" s="1"/>
  <c r="C73" i="55" s="1"/>
  <c r="K70" i="21" l="1"/>
  <c r="Q70" i="21" s="1"/>
  <c r="F70" i="21"/>
  <c r="T6" i="21" s="1"/>
  <c r="S7" i="21"/>
  <c r="E71" i="21"/>
  <c r="C71" i="21"/>
  <c r="J71" i="21" s="1"/>
  <c r="P71" i="21" s="1"/>
  <c r="B71" i="21"/>
  <c r="I71" i="21" s="1"/>
  <c r="O71" i="21" s="1"/>
  <c r="D71" i="21"/>
  <c r="E68" i="6"/>
  <c r="J13" i="6" s="1"/>
  <c r="P7" i="21"/>
  <c r="D68" i="6"/>
  <c r="I13" i="6" s="1"/>
  <c r="P33" i="18" s="1"/>
  <c r="O7" i="21"/>
  <c r="I58" i="54"/>
  <c r="D58" i="54"/>
  <c r="F59" i="52"/>
  <c r="B63" i="53"/>
  <c r="C62" i="53"/>
  <c r="J62" i="53" s="1"/>
  <c r="P62" i="53" s="1"/>
  <c r="I57" i="35"/>
  <c r="D57" i="35"/>
  <c r="I57" i="34"/>
  <c r="O69" i="34" s="1"/>
  <c r="D57" i="34"/>
  <c r="B58" i="37"/>
  <c r="C57" i="37"/>
  <c r="J57" i="37" s="1"/>
  <c r="B59" i="32"/>
  <c r="C58" i="32"/>
  <c r="J58" i="32" s="1"/>
  <c r="D58" i="48"/>
  <c r="I58" i="48"/>
  <c r="O58" i="48" s="1"/>
  <c r="D55" i="9" s="1"/>
  <c r="I57" i="36"/>
  <c r="D57" i="36"/>
  <c r="D73" i="56"/>
  <c r="E73" i="56" s="1"/>
  <c r="C73" i="56" s="1"/>
  <c r="B74" i="55"/>
  <c r="K58" i="33"/>
  <c r="Q58" i="33" s="1"/>
  <c r="R58" i="33" s="1"/>
  <c r="E58" i="33"/>
  <c r="B72" i="21" l="1"/>
  <c r="I72" i="21" s="1"/>
  <c r="O72" i="21" s="1"/>
  <c r="D70" i="6" s="1"/>
  <c r="C72" i="21"/>
  <c r="J72" i="21" s="1"/>
  <c r="P72" i="21" s="1"/>
  <c r="E70" i="6" s="1"/>
  <c r="E72" i="21"/>
  <c r="D72" i="21"/>
  <c r="K72" i="21" s="1"/>
  <c r="Q72" i="21" s="1"/>
  <c r="F70" i="6" s="1"/>
  <c r="K71" i="21"/>
  <c r="Q71" i="21" s="1"/>
  <c r="W15" i="7"/>
  <c r="M13" i="6" s="1"/>
  <c r="L30" i="19" s="1"/>
  <c r="P37" i="18"/>
  <c r="AC21" i="18"/>
  <c r="P35" i="18"/>
  <c r="Q33" i="18"/>
  <c r="Q52" i="18" s="1"/>
  <c r="D69" i="6"/>
  <c r="U6" i="21"/>
  <c r="Y14" i="7" s="1"/>
  <c r="X14" i="7"/>
  <c r="N12" i="6" s="1"/>
  <c r="O12" i="6" s="1"/>
  <c r="E69" i="6"/>
  <c r="F68" i="6"/>
  <c r="K13" i="6" s="1"/>
  <c r="Q7" i="21"/>
  <c r="E58" i="54"/>
  <c r="K58" i="54"/>
  <c r="E59" i="52"/>
  <c r="I63" i="53"/>
  <c r="O63" i="53" s="1"/>
  <c r="D63" i="53"/>
  <c r="K57" i="35"/>
  <c r="E57" i="35"/>
  <c r="E57" i="34"/>
  <c r="K57" i="34"/>
  <c r="Q69" i="34" s="1"/>
  <c r="R69" i="34" s="1"/>
  <c r="I58" i="37"/>
  <c r="D58" i="37"/>
  <c r="D59" i="32"/>
  <c r="I59" i="32"/>
  <c r="K58" i="48"/>
  <c r="Q58" i="48" s="1"/>
  <c r="E58" i="48"/>
  <c r="B74" i="56"/>
  <c r="K57" i="36"/>
  <c r="E57" i="36"/>
  <c r="B59" i="33"/>
  <c r="C58" i="33"/>
  <c r="J58" i="33" s="1"/>
  <c r="P58" i="33" s="1"/>
  <c r="D74" i="55"/>
  <c r="E74" i="55" s="1"/>
  <c r="R7" i="21" l="1"/>
  <c r="B73" i="21"/>
  <c r="I73" i="21" s="1"/>
  <c r="O73" i="21" s="1"/>
  <c r="D71" i="6" s="1"/>
  <c r="E73" i="21"/>
  <c r="D73" i="21"/>
  <c r="C73" i="21"/>
  <c r="J73" i="21" s="1"/>
  <c r="P73" i="21" s="1"/>
  <c r="Q35" i="18"/>
  <c r="AK17" i="20" s="1"/>
  <c r="AJ17" i="20"/>
  <c r="R35" i="18"/>
  <c r="AC23" i="18"/>
  <c r="AD21" i="18"/>
  <c r="Q37" i="18"/>
  <c r="P38" i="18"/>
  <c r="R37" i="18"/>
  <c r="F69" i="6"/>
  <c r="C58" i="54"/>
  <c r="J58" i="54" s="1"/>
  <c r="B59" i="54"/>
  <c r="E63" i="53"/>
  <c r="K63" i="53"/>
  <c r="Q63" i="53" s="1"/>
  <c r="D60" i="52"/>
  <c r="F55" i="9"/>
  <c r="R58" i="48"/>
  <c r="B58" i="35"/>
  <c r="C57" i="35"/>
  <c r="J57" i="35" s="1"/>
  <c r="B58" i="34"/>
  <c r="C57" i="34"/>
  <c r="J57" i="34" s="1"/>
  <c r="P69" i="34" s="1"/>
  <c r="K58" i="37"/>
  <c r="E58" i="37"/>
  <c r="K59" i="32"/>
  <c r="F59" i="32"/>
  <c r="E59" i="32"/>
  <c r="B59" i="48"/>
  <c r="C58" i="48"/>
  <c r="J58" i="48" s="1"/>
  <c r="P58" i="48" s="1"/>
  <c r="E55" i="9" s="1"/>
  <c r="B75" i="55"/>
  <c r="I59" i="33"/>
  <c r="O59" i="33" s="1"/>
  <c r="O6" i="33" s="1"/>
  <c r="D59" i="33"/>
  <c r="B58" i="36"/>
  <c r="C57" i="36"/>
  <c r="J57" i="36" s="1"/>
  <c r="C74" i="55"/>
  <c r="D74" i="56"/>
  <c r="E74" i="56" s="1"/>
  <c r="C74" i="56" s="1"/>
  <c r="AC25" i="18" l="1"/>
  <c r="AD23" i="18"/>
  <c r="E71" i="6"/>
  <c r="K73" i="21"/>
  <c r="Q73" i="21" s="1"/>
  <c r="AJ18" i="20"/>
  <c r="Q38" i="18"/>
  <c r="AK18" i="20" s="1"/>
  <c r="R38" i="18"/>
  <c r="C74" i="21"/>
  <c r="J74" i="21" s="1"/>
  <c r="P74" i="21" s="1"/>
  <c r="E72" i="6" s="1"/>
  <c r="E74" i="21"/>
  <c r="B74" i="21"/>
  <c r="I74" i="21" s="1"/>
  <c r="O74" i="21" s="1"/>
  <c r="D74" i="21"/>
  <c r="K74" i="21" s="1"/>
  <c r="Q74" i="21" s="1"/>
  <c r="F72" i="6" s="1"/>
  <c r="V15" i="7"/>
  <c r="L13" i="6"/>
  <c r="L42" i="19" s="1"/>
  <c r="I59" i="54"/>
  <c r="D59" i="54"/>
  <c r="F60" i="52"/>
  <c r="B64" i="53"/>
  <c r="C63" i="53"/>
  <c r="J63" i="53" s="1"/>
  <c r="P63" i="53" s="1"/>
  <c r="I58" i="35"/>
  <c r="D58" i="35"/>
  <c r="I58" i="34"/>
  <c r="O70" i="34" s="1"/>
  <c r="D58" i="34"/>
  <c r="B59" i="37"/>
  <c r="C58" i="37"/>
  <c r="J58" i="37" s="1"/>
  <c r="B60" i="32"/>
  <c r="C59" i="32"/>
  <c r="J59" i="32" s="1"/>
  <c r="I59" i="48"/>
  <c r="O59" i="48" s="1"/>
  <c r="D59" i="48"/>
  <c r="D58" i="36"/>
  <c r="I58" i="36"/>
  <c r="D75" i="55"/>
  <c r="E75" i="55" s="1"/>
  <c r="C75" i="55" s="1"/>
  <c r="B75" i="56"/>
  <c r="K59" i="33"/>
  <c r="Q59" i="33" s="1"/>
  <c r="F59" i="33"/>
  <c r="E59" i="33"/>
  <c r="F71" i="6" l="1"/>
  <c r="AC29" i="18"/>
  <c r="AD29" i="18" s="1"/>
  <c r="AD25" i="18"/>
  <c r="D72" i="6"/>
  <c r="B75" i="21"/>
  <c r="I75" i="21" s="1"/>
  <c r="O75" i="21" s="1"/>
  <c r="D73" i="6" s="1"/>
  <c r="E75" i="21"/>
  <c r="C75" i="21"/>
  <c r="J75" i="21" s="1"/>
  <c r="P75" i="21" s="1"/>
  <c r="E73" i="6" s="1"/>
  <c r="D75" i="21"/>
  <c r="K75" i="21" s="1"/>
  <c r="Q75" i="21" s="1"/>
  <c r="F73" i="6" s="1"/>
  <c r="E59" i="54"/>
  <c r="K59" i="54"/>
  <c r="S59" i="33"/>
  <c r="Q6" i="33"/>
  <c r="R59" i="33"/>
  <c r="E60" i="52"/>
  <c r="I64" i="53"/>
  <c r="O64" i="53" s="1"/>
  <c r="D64" i="53"/>
  <c r="D56" i="9"/>
  <c r="I12" i="9" s="1"/>
  <c r="O6" i="48"/>
  <c r="K58" i="35"/>
  <c r="E58" i="35"/>
  <c r="K58" i="34"/>
  <c r="Q70" i="34" s="1"/>
  <c r="R70" i="34" s="1"/>
  <c r="E58" i="34"/>
  <c r="D59" i="37"/>
  <c r="I59" i="37"/>
  <c r="I60" i="32"/>
  <c r="D60" i="32"/>
  <c r="K59" i="48"/>
  <c r="Q59" i="48" s="1"/>
  <c r="F59" i="48"/>
  <c r="E59" i="48"/>
  <c r="K58" i="36"/>
  <c r="E58" i="36"/>
  <c r="B60" i="33"/>
  <c r="C59" i="33"/>
  <c r="J59" i="33" s="1"/>
  <c r="P59" i="33" s="1"/>
  <c r="P6" i="33" s="1"/>
  <c r="D75" i="56"/>
  <c r="E75" i="56" s="1"/>
  <c r="B76" i="55"/>
  <c r="C76" i="21" l="1"/>
  <c r="J76" i="21" s="1"/>
  <c r="P76" i="21" s="1"/>
  <c r="B76" i="21"/>
  <c r="I76" i="21" s="1"/>
  <c r="O76" i="21" s="1"/>
  <c r="D74" i="6" s="1"/>
  <c r="E76" i="21"/>
  <c r="D76" i="21"/>
  <c r="K76" i="21" s="1"/>
  <c r="Q76" i="21" s="1"/>
  <c r="F74" i="6" s="1"/>
  <c r="C59" i="54"/>
  <c r="J59" i="54" s="1"/>
  <c r="B60" i="54"/>
  <c r="T5" i="33"/>
  <c r="S5" i="33"/>
  <c r="R6" i="33"/>
  <c r="E64" i="53"/>
  <c r="K64" i="53"/>
  <c r="Q64" i="53" s="1"/>
  <c r="D61" i="52"/>
  <c r="F56" i="9"/>
  <c r="K12" i="9" s="1"/>
  <c r="S59" i="48"/>
  <c r="Q6" i="48"/>
  <c r="R59" i="48"/>
  <c r="B59" i="35"/>
  <c r="C58" i="35"/>
  <c r="J58" i="35" s="1"/>
  <c r="B59" i="34"/>
  <c r="C58" i="34"/>
  <c r="J58" i="34" s="1"/>
  <c r="P70" i="34" s="1"/>
  <c r="K59" i="37"/>
  <c r="F59" i="37"/>
  <c r="E59" i="37"/>
  <c r="K60" i="32"/>
  <c r="E60" i="32"/>
  <c r="B60" i="48"/>
  <c r="C59" i="48"/>
  <c r="J59" i="48" s="1"/>
  <c r="P59" i="48" s="1"/>
  <c r="D76" i="55"/>
  <c r="E76" i="55" s="1"/>
  <c r="C76" i="55" s="1"/>
  <c r="B76" i="56"/>
  <c r="B59" i="36"/>
  <c r="C58" i="36"/>
  <c r="J58" i="36" s="1"/>
  <c r="C75" i="56"/>
  <c r="I60" i="33"/>
  <c r="O60" i="33" s="1"/>
  <c r="D60" i="33"/>
  <c r="B77" i="21" l="1"/>
  <c r="I77" i="21" s="1"/>
  <c r="O77" i="21" s="1"/>
  <c r="D75" i="6" s="1"/>
  <c r="C77" i="21"/>
  <c r="J77" i="21" s="1"/>
  <c r="P77" i="21" s="1"/>
  <c r="E75" i="6" s="1"/>
  <c r="E77" i="21"/>
  <c r="D77" i="21"/>
  <c r="K77" i="21" s="1"/>
  <c r="Q77" i="21" s="1"/>
  <c r="F75" i="6" s="1"/>
  <c r="E74" i="6"/>
  <c r="I60" i="54"/>
  <c r="D60" i="54"/>
  <c r="U5" i="33"/>
  <c r="C64" i="53"/>
  <c r="J64" i="53" s="1"/>
  <c r="P64" i="53" s="1"/>
  <c r="B65" i="53"/>
  <c r="F61" i="52"/>
  <c r="E56" i="9"/>
  <c r="J12" i="9" s="1"/>
  <c r="M39" i="18" s="1"/>
  <c r="G37" i="20" s="1"/>
  <c r="G39" i="20" s="1"/>
  <c r="P6" i="48"/>
  <c r="R6" i="48"/>
  <c r="T5" i="48"/>
  <c r="X13" i="32" s="1"/>
  <c r="N11" i="9" s="1"/>
  <c r="S5" i="48"/>
  <c r="I59" i="35"/>
  <c r="D59" i="35"/>
  <c r="I59" i="34"/>
  <c r="O71" i="34" s="1"/>
  <c r="O7" i="34" s="1"/>
  <c r="D59" i="34"/>
  <c r="C59" i="37"/>
  <c r="J59" i="37" s="1"/>
  <c r="B60" i="37"/>
  <c r="B61" i="32"/>
  <c r="C60" i="32"/>
  <c r="J60" i="32" s="1"/>
  <c r="D60" i="48"/>
  <c r="I60" i="48"/>
  <c r="O60" i="48" s="1"/>
  <c r="D76" i="56"/>
  <c r="E76" i="56" s="1"/>
  <c r="C76" i="56" s="1"/>
  <c r="K60" i="33"/>
  <c r="Q60" i="33" s="1"/>
  <c r="E60" i="33"/>
  <c r="D59" i="36"/>
  <c r="I59" i="36"/>
  <c r="B77" i="55"/>
  <c r="B78" i="21" l="1"/>
  <c r="I78" i="21" s="1"/>
  <c r="O78" i="21" s="1"/>
  <c r="D76" i="6" s="1"/>
  <c r="E78" i="21"/>
  <c r="D78" i="21"/>
  <c r="K78" i="21" s="1"/>
  <c r="Q78" i="21" s="1"/>
  <c r="C78" i="21"/>
  <c r="J78" i="21" s="1"/>
  <c r="P78" i="21" s="1"/>
  <c r="E60" i="54"/>
  <c r="K60" i="54"/>
  <c r="R60" i="33"/>
  <c r="I65" i="53"/>
  <c r="O65" i="53" s="1"/>
  <c r="D62" i="52" s="1"/>
  <c r="D65" i="53"/>
  <c r="E61" i="52"/>
  <c r="D57" i="9"/>
  <c r="U5" i="48"/>
  <c r="Y13" i="32" s="1"/>
  <c r="W13" i="32"/>
  <c r="M11" i="9" s="1"/>
  <c r="L12" i="9"/>
  <c r="V14" i="32"/>
  <c r="G22" i="20"/>
  <c r="AA31" i="18"/>
  <c r="AB31" i="18" s="1"/>
  <c r="N39" i="18"/>
  <c r="M40" i="18"/>
  <c r="O33" i="18"/>
  <c r="O39" i="18"/>
  <c r="F59" i="35"/>
  <c r="E59" i="35"/>
  <c r="K59" i="35"/>
  <c r="K59" i="34"/>
  <c r="Q71" i="34" s="1"/>
  <c r="F59" i="34"/>
  <c r="E59" i="34"/>
  <c r="D60" i="37"/>
  <c r="I60" i="37"/>
  <c r="I61" i="32"/>
  <c r="D61" i="32"/>
  <c r="K60" i="48"/>
  <c r="Q60" i="48" s="1"/>
  <c r="E60" i="48"/>
  <c r="D77" i="55"/>
  <c r="E77" i="55" s="1"/>
  <c r="K59" i="36"/>
  <c r="F59" i="36"/>
  <c r="E59" i="36"/>
  <c r="B61" i="33"/>
  <c r="C60" i="33"/>
  <c r="J60" i="33" s="1"/>
  <c r="P60" i="33" s="1"/>
  <c r="B77" i="56"/>
  <c r="Q7" i="34" l="1"/>
  <c r="S71" i="34"/>
  <c r="R71" i="34"/>
  <c r="E76" i="6"/>
  <c r="F76" i="6"/>
  <c r="E79" i="21"/>
  <c r="C79" i="21"/>
  <c r="J79" i="21" s="1"/>
  <c r="P79" i="21" s="1"/>
  <c r="E77" i="6" s="1"/>
  <c r="B79" i="21"/>
  <c r="I79" i="21" s="1"/>
  <c r="O79" i="21" s="1"/>
  <c r="D77" i="6" s="1"/>
  <c r="D79" i="21"/>
  <c r="K79" i="21" s="1"/>
  <c r="Q79" i="21" s="1"/>
  <c r="F77" i="6" s="1"/>
  <c r="C60" i="54"/>
  <c r="J60" i="54" s="1"/>
  <c r="B61" i="54"/>
  <c r="E65" i="53"/>
  <c r="K65" i="53"/>
  <c r="Q65" i="53" s="1"/>
  <c r="F62" i="52" s="1"/>
  <c r="O11" i="9"/>
  <c r="H29" i="19"/>
  <c r="H33" i="19"/>
  <c r="M41" i="18"/>
  <c r="O40" i="18"/>
  <c r="N40" i="18"/>
  <c r="AA33" i="18"/>
  <c r="AB33" i="18" s="1"/>
  <c r="AT32" i="20"/>
  <c r="F57" i="9"/>
  <c r="R60" i="48"/>
  <c r="B60" i="35"/>
  <c r="C59" i="35"/>
  <c r="J59" i="35" s="1"/>
  <c r="C59" i="34"/>
  <c r="J59" i="34" s="1"/>
  <c r="P71" i="34" s="1"/>
  <c r="P7" i="34" s="1"/>
  <c r="B60" i="34"/>
  <c r="E60" i="37"/>
  <c r="K60" i="37"/>
  <c r="K61" i="32"/>
  <c r="E61" i="32"/>
  <c r="B61" i="48"/>
  <c r="C60" i="48"/>
  <c r="J60" i="48" s="1"/>
  <c r="P60" i="48" s="1"/>
  <c r="B60" i="36"/>
  <c r="C59" i="36"/>
  <c r="J59" i="36" s="1"/>
  <c r="B78" i="55"/>
  <c r="D77" i="56"/>
  <c r="E77" i="56" s="1"/>
  <c r="C77" i="56" s="1"/>
  <c r="D61" i="33"/>
  <c r="I61" i="33"/>
  <c r="O61" i="33" s="1"/>
  <c r="C77" i="55"/>
  <c r="S7" i="34" l="1"/>
  <c r="R7" i="34"/>
  <c r="T6" i="34"/>
  <c r="S6" i="34"/>
  <c r="E80" i="21"/>
  <c r="C80" i="21"/>
  <c r="J80" i="21" s="1"/>
  <c r="P80" i="21" s="1"/>
  <c r="E78" i="6" s="1"/>
  <c r="B80" i="21"/>
  <c r="I80" i="21" s="1"/>
  <c r="O80" i="21" s="1"/>
  <c r="D78" i="6" s="1"/>
  <c r="D80" i="21"/>
  <c r="K80" i="21" s="1"/>
  <c r="Q80" i="21" s="1"/>
  <c r="F78" i="6" s="1"/>
  <c r="I61" i="54"/>
  <c r="D61" i="54"/>
  <c r="C65" i="53"/>
  <c r="J65" i="53" s="1"/>
  <c r="P65" i="53" s="1"/>
  <c r="E62" i="52" s="1"/>
  <c r="B66" i="53"/>
  <c r="AT35" i="20"/>
  <c r="M44" i="18"/>
  <c r="N41" i="18"/>
  <c r="O41" i="18"/>
  <c r="H32" i="19"/>
  <c r="S17" i="19" s="1"/>
  <c r="H28" i="19"/>
  <c r="H41" i="19"/>
  <c r="E57" i="9"/>
  <c r="D60" i="35"/>
  <c r="I60" i="35"/>
  <c r="I60" i="34"/>
  <c r="O72" i="34" s="1"/>
  <c r="D60" i="34"/>
  <c r="C60" i="37"/>
  <c r="J60" i="37" s="1"/>
  <c r="B61" i="37"/>
  <c r="B62" i="32"/>
  <c r="C61" i="32"/>
  <c r="J61" i="32" s="1"/>
  <c r="I61" i="48"/>
  <c r="O61" i="48" s="1"/>
  <c r="D61" i="48"/>
  <c r="D78" i="55"/>
  <c r="E78" i="55" s="1"/>
  <c r="I60" i="36"/>
  <c r="D60" i="36"/>
  <c r="K61" i="33"/>
  <c r="Q61" i="33" s="1"/>
  <c r="E61" i="33"/>
  <c r="B78" i="56"/>
  <c r="U6" i="34" l="1"/>
  <c r="E81" i="21"/>
  <c r="B81" i="21"/>
  <c r="I81" i="21" s="1"/>
  <c r="O81" i="21" s="1"/>
  <c r="D79" i="6" s="1"/>
  <c r="D81" i="21"/>
  <c r="K81" i="21" s="1"/>
  <c r="Q81" i="21" s="1"/>
  <c r="F79" i="6" s="1"/>
  <c r="C81" i="21"/>
  <c r="J81" i="21" s="1"/>
  <c r="P81" i="21" s="1"/>
  <c r="E79" i="6" s="1"/>
  <c r="E61" i="54"/>
  <c r="K61" i="54"/>
  <c r="R61" i="33"/>
  <c r="I66" i="53"/>
  <c r="O66" i="53" s="1"/>
  <c r="D63" i="52" s="1"/>
  <c r="D66" i="53"/>
  <c r="S15" i="19"/>
  <c r="S19" i="19" s="1"/>
  <c r="H45" i="19"/>
  <c r="H44" i="19"/>
  <c r="F28" i="20"/>
  <c r="H39" i="19"/>
  <c r="D58" i="9"/>
  <c r="AA37" i="18"/>
  <c r="AB37" i="18" s="1"/>
  <c r="O44" i="18"/>
  <c r="N44" i="18"/>
  <c r="M45" i="18"/>
  <c r="K60" i="35"/>
  <c r="E60" i="35"/>
  <c r="E60" i="34"/>
  <c r="K60" i="34"/>
  <c r="Q72" i="34" s="1"/>
  <c r="I61" i="37"/>
  <c r="D61" i="37"/>
  <c r="D62" i="32"/>
  <c r="I62" i="32"/>
  <c r="K61" i="48"/>
  <c r="Q61" i="48" s="1"/>
  <c r="E61" i="48"/>
  <c r="B79" i="55"/>
  <c r="B62" i="33"/>
  <c r="C61" i="33"/>
  <c r="J61" i="33" s="1"/>
  <c r="P61" i="33" s="1"/>
  <c r="K60" i="36"/>
  <c r="E60" i="36"/>
  <c r="D78" i="56"/>
  <c r="E78" i="56" s="1"/>
  <c r="C78" i="56" s="1"/>
  <c r="C78" i="55"/>
  <c r="R72" i="34" l="1"/>
  <c r="C82" i="21"/>
  <c r="J82" i="21" s="1"/>
  <c r="P82" i="21" s="1"/>
  <c r="E82" i="21"/>
  <c r="D82" i="21"/>
  <c r="B82" i="21"/>
  <c r="I82" i="21" s="1"/>
  <c r="O82" i="21" s="1"/>
  <c r="C61" i="54"/>
  <c r="J61" i="54" s="1"/>
  <c r="B62" i="54"/>
  <c r="E66" i="53"/>
  <c r="K66" i="53"/>
  <c r="Q66" i="53" s="1"/>
  <c r="F63" i="52" s="1"/>
  <c r="F58" i="9"/>
  <c r="R61" i="48"/>
  <c r="I27" i="19"/>
  <c r="I23" i="19"/>
  <c r="N21" i="20"/>
  <c r="I37" i="19"/>
  <c r="I28" i="19"/>
  <c r="I30" i="19"/>
  <c r="F21" i="20"/>
  <c r="AR29" i="20" s="1"/>
  <c r="I31" i="19"/>
  <c r="I22" i="19"/>
  <c r="I29" i="19"/>
  <c r="I38" i="19"/>
  <c r="F6" i="20"/>
  <c r="AR17" i="20" s="1"/>
  <c r="I26" i="19"/>
  <c r="I41" i="19"/>
  <c r="H18" i="19"/>
  <c r="F15" i="20" s="1"/>
  <c r="AR23" i="20" s="1"/>
  <c r="I42" i="19"/>
  <c r="I20" i="19"/>
  <c r="I24" i="19"/>
  <c r="I25" i="19"/>
  <c r="I32" i="19"/>
  <c r="T17" i="19" s="1"/>
  <c r="F10" i="20"/>
  <c r="I34" i="19"/>
  <c r="I35" i="19"/>
  <c r="I33" i="19"/>
  <c r="I36" i="19"/>
  <c r="N19" i="20"/>
  <c r="F19" i="20"/>
  <c r="AR26" i="20" s="1"/>
  <c r="I21" i="19"/>
  <c r="M46" i="18"/>
  <c r="AA39" i="18"/>
  <c r="AB39" i="18" s="1"/>
  <c r="N45" i="18"/>
  <c r="O45" i="18"/>
  <c r="J38" i="19"/>
  <c r="N20" i="20"/>
  <c r="I45" i="19"/>
  <c r="F20" i="20"/>
  <c r="I44" i="19"/>
  <c r="B61" i="35"/>
  <c r="C60" i="35"/>
  <c r="J60" i="35" s="1"/>
  <c r="C60" i="34"/>
  <c r="J60" i="34" s="1"/>
  <c r="P72" i="34" s="1"/>
  <c r="B61" i="34"/>
  <c r="E61" i="37"/>
  <c r="K61" i="37"/>
  <c r="K62" i="32"/>
  <c r="E62" i="32"/>
  <c r="B62" i="48"/>
  <c r="C61" i="48"/>
  <c r="J61" i="48" s="1"/>
  <c r="P61" i="48" s="1"/>
  <c r="B79" i="56"/>
  <c r="B61" i="36"/>
  <c r="C60" i="36"/>
  <c r="J60" i="36" s="1"/>
  <c r="I62" i="33"/>
  <c r="O62" i="33" s="1"/>
  <c r="D62" i="33"/>
  <c r="D79" i="55"/>
  <c r="E79" i="55" s="1"/>
  <c r="M49" i="18" l="1"/>
  <c r="D80" i="6"/>
  <c r="I14" i="6" s="1"/>
  <c r="O8" i="21"/>
  <c r="K82" i="21"/>
  <c r="Q82" i="21" s="1"/>
  <c r="F82" i="21"/>
  <c r="T7" i="21" s="1"/>
  <c r="E80" i="6"/>
  <c r="J14" i="6" s="1"/>
  <c r="P8" i="21"/>
  <c r="I62" i="54"/>
  <c r="D62" i="54"/>
  <c r="C66" i="53"/>
  <c r="J66" i="53" s="1"/>
  <c r="P66" i="53" s="1"/>
  <c r="E63" i="52" s="1"/>
  <c r="B67" i="53"/>
  <c r="H116" i="4"/>
  <c r="H118" i="4" s="1"/>
  <c r="AR11" i="20"/>
  <c r="H15" i="19"/>
  <c r="L69" i="18"/>
  <c r="F16" i="20"/>
  <c r="E58" i="9"/>
  <c r="N15" i="20"/>
  <c r="T13" i="19"/>
  <c r="AS14" i="20"/>
  <c r="U20" i="20"/>
  <c r="I39" i="19"/>
  <c r="T15" i="19"/>
  <c r="U23" i="20"/>
  <c r="O46" i="18"/>
  <c r="AA41" i="18"/>
  <c r="AB41" i="18" s="1"/>
  <c r="Q65" i="18"/>
  <c r="N46" i="18"/>
  <c r="AI20" i="20" s="1"/>
  <c r="Q63" i="18"/>
  <c r="J25" i="19"/>
  <c r="Q62" i="18"/>
  <c r="AH20" i="20"/>
  <c r="Q64" i="18"/>
  <c r="Q66" i="18"/>
  <c r="N16" i="20"/>
  <c r="D61" i="35"/>
  <c r="I61" i="35"/>
  <c r="I61" i="34"/>
  <c r="O73" i="34" s="1"/>
  <c r="D61" i="34"/>
  <c r="C61" i="37"/>
  <c r="J61" i="37" s="1"/>
  <c r="B62" i="37"/>
  <c r="B63" i="32"/>
  <c r="C62" i="32"/>
  <c r="J62" i="32" s="1"/>
  <c r="D62" i="48"/>
  <c r="I62" i="48"/>
  <c r="O62" i="48" s="1"/>
  <c r="K62" i="33"/>
  <c r="Q62" i="33" s="1"/>
  <c r="E62" i="33"/>
  <c r="I61" i="36"/>
  <c r="D61" i="36"/>
  <c r="D79" i="56"/>
  <c r="E79" i="56" s="1"/>
  <c r="C79" i="56" s="1"/>
  <c r="B80" i="55"/>
  <c r="C79" i="55"/>
  <c r="X15" i="7" l="1"/>
  <c r="N13" i="6" s="1"/>
  <c r="O13" i="6" s="1"/>
  <c r="U7" i="21"/>
  <c r="Y15" i="7" s="1"/>
  <c r="F80" i="6"/>
  <c r="K14" i="6" s="1"/>
  <c r="Q8" i="21"/>
  <c r="R8" i="21" s="1"/>
  <c r="E62" i="54"/>
  <c r="K62" i="54"/>
  <c r="R62" i="33"/>
  <c r="I67" i="53"/>
  <c r="O67" i="53" s="1"/>
  <c r="D64" i="52" s="1"/>
  <c r="D67" i="53"/>
  <c r="L23" i="19"/>
  <c r="U18" i="20"/>
  <c r="P60" i="18"/>
  <c r="J20" i="19"/>
  <c r="H19" i="19"/>
  <c r="S9" i="19"/>
  <c r="S11" i="19" s="1"/>
  <c r="Q67" i="18"/>
  <c r="L24" i="19" s="1"/>
  <c r="N49" i="18"/>
  <c r="AI23" i="20" s="1"/>
  <c r="AH23" i="20"/>
  <c r="BD33" i="20"/>
  <c r="T19" i="19"/>
  <c r="D59" i="9"/>
  <c r="K61" i="35"/>
  <c r="E61" i="35"/>
  <c r="K61" i="34"/>
  <c r="Q73" i="34" s="1"/>
  <c r="E61" i="34"/>
  <c r="I62" i="37"/>
  <c r="D62" i="37"/>
  <c r="I63" i="32"/>
  <c r="D63" i="32"/>
  <c r="K62" i="48"/>
  <c r="Q62" i="48" s="1"/>
  <c r="E62" i="48"/>
  <c r="B80" i="56"/>
  <c r="K61" i="36"/>
  <c r="E61" i="36"/>
  <c r="D80" i="55"/>
  <c r="E80" i="55" s="1"/>
  <c r="C80" i="55" s="1"/>
  <c r="B63" i="33"/>
  <c r="C62" i="33"/>
  <c r="J62" i="33" s="1"/>
  <c r="P62" i="33" s="1"/>
  <c r="R73" i="34" l="1"/>
  <c r="L14" i="9"/>
  <c r="L14" i="6"/>
  <c r="V16" i="7"/>
  <c r="L14" i="52"/>
  <c r="C62" i="54"/>
  <c r="J62" i="54" s="1"/>
  <c r="B63" i="54"/>
  <c r="E67" i="53"/>
  <c r="K67" i="53"/>
  <c r="Q67" i="53" s="1"/>
  <c r="F64" i="52" s="1"/>
  <c r="F59" i="9"/>
  <c r="R62" i="48"/>
  <c r="U13" i="19"/>
  <c r="AT14" i="20"/>
  <c r="I12" i="19"/>
  <c r="I8" i="19"/>
  <c r="I7" i="19"/>
  <c r="I13" i="19"/>
  <c r="H47" i="19"/>
  <c r="I16" i="19"/>
  <c r="I11" i="19"/>
  <c r="I10" i="19"/>
  <c r="I17" i="19"/>
  <c r="I15" i="19"/>
  <c r="I18" i="19"/>
  <c r="AS11" i="20" s="1"/>
  <c r="U16" i="20"/>
  <c r="I9" i="19"/>
  <c r="F8" i="20"/>
  <c r="AR20" i="20" s="1"/>
  <c r="I14" i="19"/>
  <c r="N14" i="20"/>
  <c r="F14" i="20"/>
  <c r="C61" i="35"/>
  <c r="J61" i="35" s="1"/>
  <c r="B62" i="35"/>
  <c r="C61" i="34"/>
  <c r="J61" i="34" s="1"/>
  <c r="P73" i="34" s="1"/>
  <c r="B62" i="34"/>
  <c r="K62" i="37"/>
  <c r="E62" i="37"/>
  <c r="K63" i="32"/>
  <c r="E63" i="32"/>
  <c r="B63" i="48"/>
  <c r="C62" i="48"/>
  <c r="J62" i="48" s="1"/>
  <c r="P62" i="48" s="1"/>
  <c r="I63" i="33"/>
  <c r="O63" i="33" s="1"/>
  <c r="D63" i="33"/>
  <c r="B62" i="36"/>
  <c r="C61" i="36"/>
  <c r="J61" i="36" s="1"/>
  <c r="D80" i="56"/>
  <c r="E80" i="56" s="1"/>
  <c r="B81" i="55"/>
  <c r="I63" i="54" l="1"/>
  <c r="D63" i="54"/>
  <c r="C67" i="53"/>
  <c r="J67" i="53" s="1"/>
  <c r="P67" i="53" s="1"/>
  <c r="E64" i="52" s="1"/>
  <c r="B68" i="53"/>
  <c r="U11" i="20"/>
  <c r="T9" i="19"/>
  <c r="E59" i="9"/>
  <c r="U8" i="20"/>
  <c r="T7" i="19"/>
  <c r="I19" i="19"/>
  <c r="I62" i="35"/>
  <c r="D62" i="35"/>
  <c r="I62" i="34"/>
  <c r="O74" i="34" s="1"/>
  <c r="D62" i="34"/>
  <c r="B63" i="37"/>
  <c r="C62" i="37"/>
  <c r="J62" i="37" s="1"/>
  <c r="B64" i="32"/>
  <c r="C63" i="32"/>
  <c r="J63" i="32" s="1"/>
  <c r="D63" i="48"/>
  <c r="I63" i="48"/>
  <c r="O63" i="48" s="1"/>
  <c r="D81" i="55"/>
  <c r="E81" i="55" s="1"/>
  <c r="C81" i="55" s="1"/>
  <c r="B81" i="56"/>
  <c r="I62" i="36"/>
  <c r="D62" i="36"/>
  <c r="C80" i="56"/>
  <c r="K63" i="33"/>
  <c r="Q63" i="33" s="1"/>
  <c r="E63" i="33"/>
  <c r="E63" i="54" l="1"/>
  <c r="K63" i="54"/>
  <c r="R63" i="33"/>
  <c r="I68" i="53"/>
  <c r="O68" i="53" s="1"/>
  <c r="D65" i="52" s="1"/>
  <c r="D68" i="53"/>
  <c r="T11" i="19"/>
  <c r="U14" i="20"/>
  <c r="D60" i="9"/>
  <c r="K62" i="35"/>
  <c r="E62" i="35"/>
  <c r="K62" i="34"/>
  <c r="Q74" i="34" s="1"/>
  <c r="E62" i="34"/>
  <c r="D63" i="37"/>
  <c r="I63" i="37"/>
  <c r="D64" i="32"/>
  <c r="I64" i="32"/>
  <c r="K63" i="48"/>
  <c r="Q63" i="48" s="1"/>
  <c r="E63" i="48"/>
  <c r="B64" i="33"/>
  <c r="C63" i="33"/>
  <c r="J63" i="33" s="1"/>
  <c r="P63" i="33" s="1"/>
  <c r="K62" i="36"/>
  <c r="E62" i="36"/>
  <c r="D81" i="56"/>
  <c r="E81" i="56" s="1"/>
  <c r="C81" i="56" s="1"/>
  <c r="B82" i="55"/>
  <c r="R74" i="34" l="1"/>
  <c r="C63" i="54"/>
  <c r="J63" i="54" s="1"/>
  <c r="B64" i="54"/>
  <c r="E68" i="53"/>
  <c r="K68" i="53"/>
  <c r="Q68" i="53" s="1"/>
  <c r="F65" i="52" s="1"/>
  <c r="F60" i="9"/>
  <c r="R63" i="48"/>
  <c r="C62" i="35"/>
  <c r="J62" i="35" s="1"/>
  <c r="B63" i="35"/>
  <c r="B63" i="34"/>
  <c r="C62" i="34"/>
  <c r="J62" i="34" s="1"/>
  <c r="P74" i="34" s="1"/>
  <c r="E63" i="37"/>
  <c r="K63" i="37"/>
  <c r="K64" i="32"/>
  <c r="E64" i="32"/>
  <c r="B64" i="48"/>
  <c r="C63" i="48"/>
  <c r="J63" i="48" s="1"/>
  <c r="P63" i="48" s="1"/>
  <c r="D82" i="55"/>
  <c r="E82" i="55" s="1"/>
  <c r="C82" i="55" s="1"/>
  <c r="B63" i="36"/>
  <c r="C62" i="36"/>
  <c r="J62" i="36" s="1"/>
  <c r="I64" i="33"/>
  <c r="O64" i="33" s="1"/>
  <c r="D64" i="33"/>
  <c r="B82" i="56"/>
  <c r="I64" i="54" l="1"/>
  <c r="D64" i="54"/>
  <c r="B69" i="53"/>
  <c r="C68" i="53"/>
  <c r="J68" i="53" s="1"/>
  <c r="P68" i="53" s="1"/>
  <c r="E65" i="52" s="1"/>
  <c r="E60" i="9"/>
  <c r="I63" i="35"/>
  <c r="D63" i="35"/>
  <c r="I63" i="34"/>
  <c r="O75" i="34" s="1"/>
  <c r="D63" i="34"/>
  <c r="C63" i="37"/>
  <c r="J63" i="37" s="1"/>
  <c r="B64" i="37"/>
  <c r="B65" i="32"/>
  <c r="C64" i="32"/>
  <c r="J64" i="32" s="1"/>
  <c r="I64" i="48"/>
  <c r="O64" i="48" s="1"/>
  <c r="D64" i="48"/>
  <c r="D82" i="56"/>
  <c r="E82" i="56" s="1"/>
  <c r="C82" i="56" s="1"/>
  <c r="K64" i="33"/>
  <c r="Q64" i="33" s="1"/>
  <c r="E64" i="33"/>
  <c r="I63" i="36"/>
  <c r="D63" i="36"/>
  <c r="B83" i="55"/>
  <c r="E64" i="54" l="1"/>
  <c r="K64" i="54"/>
  <c r="R64" i="33"/>
  <c r="I69" i="53"/>
  <c r="O69" i="53" s="1"/>
  <c r="D66" i="52" s="1"/>
  <c r="D69" i="53"/>
  <c r="D61" i="9"/>
  <c r="E63" i="35"/>
  <c r="K63" i="35"/>
  <c r="K63" i="34"/>
  <c r="Q75" i="34" s="1"/>
  <c r="E63" i="34"/>
  <c r="D64" i="37"/>
  <c r="I64" i="37"/>
  <c r="D65" i="32"/>
  <c r="I65" i="32"/>
  <c r="K64" i="48"/>
  <c r="Q64" i="48" s="1"/>
  <c r="E64" i="48"/>
  <c r="D83" i="55"/>
  <c r="E83" i="55" s="1"/>
  <c r="C83" i="55" s="1"/>
  <c r="K63" i="36"/>
  <c r="E63" i="36"/>
  <c r="B65" i="33"/>
  <c r="C64" i="33"/>
  <c r="J64" i="33" s="1"/>
  <c r="P64" i="33" s="1"/>
  <c r="B83" i="56"/>
  <c r="R75" i="34" l="1"/>
  <c r="B65" i="54"/>
  <c r="C64" i="54"/>
  <c r="J64" i="54" s="1"/>
  <c r="E69" i="53"/>
  <c r="K69" i="53"/>
  <c r="Q69" i="53" s="1"/>
  <c r="F66" i="52" s="1"/>
  <c r="F61" i="9"/>
  <c r="R64" i="48"/>
  <c r="B64" i="35"/>
  <c r="C63" i="35"/>
  <c r="J63" i="35" s="1"/>
  <c r="B64" i="34"/>
  <c r="C63" i="34"/>
  <c r="J63" i="34" s="1"/>
  <c r="P75" i="34" s="1"/>
  <c r="E64" i="37"/>
  <c r="K64" i="37"/>
  <c r="K65" i="32"/>
  <c r="E65" i="32"/>
  <c r="B65" i="48"/>
  <c r="C64" i="48"/>
  <c r="J64" i="48" s="1"/>
  <c r="P64" i="48" s="1"/>
  <c r="I65" i="33"/>
  <c r="O65" i="33" s="1"/>
  <c r="D65" i="33"/>
  <c r="B64" i="36"/>
  <c r="C63" i="36"/>
  <c r="J63" i="36" s="1"/>
  <c r="D83" i="56"/>
  <c r="E83" i="56" s="1"/>
  <c r="C83" i="56" s="1"/>
  <c r="I65" i="54" l="1"/>
  <c r="D65" i="54"/>
  <c r="B70" i="53"/>
  <c r="C69" i="53"/>
  <c r="J69" i="53" s="1"/>
  <c r="P69" i="53" s="1"/>
  <c r="E66" i="52" s="1"/>
  <c r="E61" i="9"/>
  <c r="I64" i="35"/>
  <c r="D64" i="35"/>
  <c r="I64" i="34"/>
  <c r="O76" i="34" s="1"/>
  <c r="D64" i="34"/>
  <c r="C64" i="37"/>
  <c r="J64" i="37" s="1"/>
  <c r="B65" i="37"/>
  <c r="B66" i="32"/>
  <c r="C65" i="32"/>
  <c r="J65" i="32" s="1"/>
  <c r="I65" i="48"/>
  <c r="O65" i="48" s="1"/>
  <c r="D62" i="9" s="1"/>
  <c r="D65" i="48"/>
  <c r="D64" i="36"/>
  <c r="I64" i="36"/>
  <c r="K65" i="33"/>
  <c r="Q65" i="33" s="1"/>
  <c r="R65" i="33" s="1"/>
  <c r="E65" i="33"/>
  <c r="E65" i="54" l="1"/>
  <c r="K65" i="54"/>
  <c r="I70" i="53"/>
  <c r="O70" i="53" s="1"/>
  <c r="D67" i="52" s="1"/>
  <c r="D70" i="53"/>
  <c r="K64" i="35"/>
  <c r="E64" i="35"/>
  <c r="E64" i="34"/>
  <c r="K64" i="34"/>
  <c r="Q76" i="34" s="1"/>
  <c r="D65" i="37"/>
  <c r="I65" i="37"/>
  <c r="D66" i="32"/>
  <c r="I66" i="32"/>
  <c r="K65" i="48"/>
  <c r="Q65" i="48" s="1"/>
  <c r="E65" i="48"/>
  <c r="B66" i="33"/>
  <c r="C65" i="33"/>
  <c r="J65" i="33" s="1"/>
  <c r="P65" i="33" s="1"/>
  <c r="K64" i="36"/>
  <c r="E64" i="36"/>
  <c r="R76" i="34" l="1"/>
  <c r="C65" i="54"/>
  <c r="J65" i="54" s="1"/>
  <c r="B66" i="54"/>
  <c r="E70" i="53"/>
  <c r="K70" i="53"/>
  <c r="Q70" i="53" s="1"/>
  <c r="F67" i="52" s="1"/>
  <c r="F62" i="9"/>
  <c r="R65" i="48"/>
  <c r="C64" i="35"/>
  <c r="J64" i="35" s="1"/>
  <c r="B65" i="35"/>
  <c r="B65" i="34"/>
  <c r="C64" i="34"/>
  <c r="J64" i="34" s="1"/>
  <c r="P76" i="34" s="1"/>
  <c r="E65" i="37"/>
  <c r="K65" i="37"/>
  <c r="K66" i="32"/>
  <c r="E66" i="32"/>
  <c r="B66" i="48"/>
  <c r="C65" i="48"/>
  <c r="J65" i="48" s="1"/>
  <c r="P65" i="48" s="1"/>
  <c r="E62" i="9" s="1"/>
  <c r="I66" i="33"/>
  <c r="O66" i="33" s="1"/>
  <c r="D66" i="33"/>
  <c r="B65" i="36"/>
  <c r="C64" i="36"/>
  <c r="J64" i="36" s="1"/>
  <c r="I66" i="54" l="1"/>
  <c r="D66" i="54"/>
  <c r="C70" i="53"/>
  <c r="J70" i="53" s="1"/>
  <c r="P70" i="53" s="1"/>
  <c r="E67" i="52" s="1"/>
  <c r="B71" i="53"/>
  <c r="I65" i="35"/>
  <c r="D65" i="35"/>
  <c r="I65" i="34"/>
  <c r="O77" i="34" s="1"/>
  <c r="D65" i="34"/>
  <c r="B66" i="37"/>
  <c r="C65" i="37"/>
  <c r="J65" i="37" s="1"/>
  <c r="B67" i="32"/>
  <c r="C66" i="32"/>
  <c r="J66" i="32" s="1"/>
  <c r="I66" i="48"/>
  <c r="O66" i="48" s="1"/>
  <c r="D63" i="9" s="1"/>
  <c r="D66" i="48"/>
  <c r="I65" i="36"/>
  <c r="D65" i="36"/>
  <c r="K66" i="33"/>
  <c r="Q66" i="33" s="1"/>
  <c r="R66" i="33" s="1"/>
  <c r="E66" i="33"/>
  <c r="E66" i="54" l="1"/>
  <c r="K66" i="54"/>
  <c r="I71" i="53"/>
  <c r="O71" i="53" s="1"/>
  <c r="D71" i="53"/>
  <c r="E65" i="35"/>
  <c r="K65" i="35"/>
  <c r="E65" i="34"/>
  <c r="K65" i="34"/>
  <c r="Q77" i="34" s="1"/>
  <c r="R77" i="34" s="1"/>
  <c r="D66" i="37"/>
  <c r="I66" i="37"/>
  <c r="D67" i="32"/>
  <c r="I67" i="32"/>
  <c r="K66" i="48"/>
  <c r="Q66" i="48" s="1"/>
  <c r="E66" i="48"/>
  <c r="B67" i="33"/>
  <c r="C66" i="33"/>
  <c r="J66" i="33" s="1"/>
  <c r="P66" i="33" s="1"/>
  <c r="K65" i="36"/>
  <c r="E65" i="36"/>
  <c r="C66" i="54" l="1"/>
  <c r="J66" i="54" s="1"/>
  <c r="B67" i="54"/>
  <c r="E71" i="53"/>
  <c r="K71" i="53"/>
  <c r="Q71" i="53" s="1"/>
  <c r="D68" i="52"/>
  <c r="I13" i="52" s="1"/>
  <c r="O7" i="53"/>
  <c r="F63" i="9"/>
  <c r="R66" i="48"/>
  <c r="B66" i="35"/>
  <c r="C65" i="35"/>
  <c r="J65" i="35" s="1"/>
  <c r="B66" i="34"/>
  <c r="C65" i="34"/>
  <c r="J65" i="34" s="1"/>
  <c r="P77" i="34" s="1"/>
  <c r="E66" i="37"/>
  <c r="K66" i="37"/>
  <c r="K67" i="32"/>
  <c r="E67" i="32"/>
  <c r="B67" i="48"/>
  <c r="C66" i="48"/>
  <c r="J66" i="48" s="1"/>
  <c r="P66" i="48" s="1"/>
  <c r="E63" i="9" s="1"/>
  <c r="B66" i="36"/>
  <c r="C65" i="36"/>
  <c r="J65" i="36" s="1"/>
  <c r="I67" i="33"/>
  <c r="O67" i="33" s="1"/>
  <c r="D67" i="33"/>
  <c r="I67" i="54" l="1"/>
  <c r="D67" i="54"/>
  <c r="F68" i="52"/>
  <c r="K13" i="52" s="1"/>
  <c r="Q7" i="53"/>
  <c r="C71" i="53"/>
  <c r="J71" i="53" s="1"/>
  <c r="P71" i="53" s="1"/>
  <c r="B72" i="53"/>
  <c r="I66" i="35"/>
  <c r="D66" i="35"/>
  <c r="I66" i="34"/>
  <c r="O78" i="34" s="1"/>
  <c r="D66" i="34"/>
  <c r="B67" i="37"/>
  <c r="C66" i="37"/>
  <c r="J66" i="37" s="1"/>
  <c r="B68" i="32"/>
  <c r="C67" i="32"/>
  <c r="J67" i="32" s="1"/>
  <c r="I67" i="48"/>
  <c r="O67" i="48" s="1"/>
  <c r="D64" i="9" s="1"/>
  <c r="D67" i="48"/>
  <c r="D66" i="36"/>
  <c r="I66" i="36"/>
  <c r="K67" i="33"/>
  <c r="Q67" i="33" s="1"/>
  <c r="R67" i="33" s="1"/>
  <c r="E67" i="33"/>
  <c r="E67" i="54" l="1"/>
  <c r="K67" i="54"/>
  <c r="I72" i="53"/>
  <c r="O72" i="53" s="1"/>
  <c r="D72" i="53"/>
  <c r="E68" i="52"/>
  <c r="J13" i="52" s="1"/>
  <c r="P7" i="53"/>
  <c r="R7" i="53"/>
  <c r="L13" i="52" s="1"/>
  <c r="L26" i="19" s="1"/>
  <c r="E66" i="35"/>
  <c r="K66" i="35"/>
  <c r="K66" i="34"/>
  <c r="Q78" i="34" s="1"/>
  <c r="R78" i="34" s="1"/>
  <c r="E66" i="34"/>
  <c r="I67" i="37"/>
  <c r="D67" i="37"/>
  <c r="I68" i="32"/>
  <c r="D68" i="32"/>
  <c r="K67" i="48"/>
  <c r="Q67" i="48" s="1"/>
  <c r="E67" i="48"/>
  <c r="K66" i="36"/>
  <c r="E66" i="36"/>
  <c r="B68" i="33"/>
  <c r="C67" i="33"/>
  <c r="J67" i="33" s="1"/>
  <c r="P67" i="33" s="1"/>
  <c r="C67" i="54" l="1"/>
  <c r="J67" i="54" s="1"/>
  <c r="B68" i="54"/>
  <c r="E72" i="53"/>
  <c r="K72" i="53"/>
  <c r="Q72" i="53" s="1"/>
  <c r="D69" i="52"/>
  <c r="F64" i="9"/>
  <c r="R67" i="48"/>
  <c r="B67" i="35"/>
  <c r="C66" i="35"/>
  <c r="J66" i="35" s="1"/>
  <c r="B67" i="34"/>
  <c r="C66" i="34"/>
  <c r="J66" i="34" s="1"/>
  <c r="P78" i="34" s="1"/>
  <c r="K67" i="37"/>
  <c r="E67" i="37"/>
  <c r="K68" i="32"/>
  <c r="E68" i="32"/>
  <c r="B68" i="48"/>
  <c r="C67" i="48"/>
  <c r="J67" i="48" s="1"/>
  <c r="P67" i="48" s="1"/>
  <c r="E64" i="9" s="1"/>
  <c r="I68" i="33"/>
  <c r="O68" i="33" s="1"/>
  <c r="D68" i="33"/>
  <c r="B67" i="36"/>
  <c r="C66" i="36"/>
  <c r="J66" i="36" s="1"/>
  <c r="I68" i="54" l="1"/>
  <c r="D68" i="54"/>
  <c r="F69" i="52"/>
  <c r="B73" i="53"/>
  <c r="C72" i="53"/>
  <c r="J72" i="53" s="1"/>
  <c r="P72" i="53" s="1"/>
  <c r="D67" i="35"/>
  <c r="I67" i="35"/>
  <c r="I67" i="34"/>
  <c r="O79" i="34" s="1"/>
  <c r="D67" i="34"/>
  <c r="C67" i="37"/>
  <c r="J67" i="37" s="1"/>
  <c r="B68" i="37"/>
  <c r="B69" i="32"/>
  <c r="C68" i="32"/>
  <c r="J68" i="32" s="1"/>
  <c r="I68" i="48"/>
  <c r="O68" i="48" s="1"/>
  <c r="D65" i="9" s="1"/>
  <c r="D68" i="48"/>
  <c r="K68" i="33"/>
  <c r="Q68" i="33" s="1"/>
  <c r="R68" i="33" s="1"/>
  <c r="E68" i="33"/>
  <c r="D67" i="36"/>
  <c r="I67" i="36"/>
  <c r="E68" i="54" l="1"/>
  <c r="K68" i="54"/>
  <c r="I73" i="53"/>
  <c r="O73" i="53" s="1"/>
  <c r="D73" i="53"/>
  <c r="E69" i="52"/>
  <c r="K67" i="35"/>
  <c r="E67" i="35"/>
  <c r="E67" i="34"/>
  <c r="K67" i="34"/>
  <c r="Q79" i="34" s="1"/>
  <c r="R79" i="34" s="1"/>
  <c r="I68" i="37"/>
  <c r="D68" i="37"/>
  <c r="I69" i="32"/>
  <c r="D69" i="32"/>
  <c r="K68" i="48"/>
  <c r="Q68" i="48" s="1"/>
  <c r="E68" i="48"/>
  <c r="K67" i="36"/>
  <c r="E67" i="36"/>
  <c r="B69" i="33"/>
  <c r="C68" i="33"/>
  <c r="J68" i="33" s="1"/>
  <c r="P68" i="33" s="1"/>
  <c r="C68" i="54" l="1"/>
  <c r="J68" i="54" s="1"/>
  <c r="B69" i="54"/>
  <c r="E73" i="53"/>
  <c r="K73" i="53"/>
  <c r="Q73" i="53" s="1"/>
  <c r="D70" i="52"/>
  <c r="F65" i="9"/>
  <c r="R68" i="48"/>
  <c r="B68" i="35"/>
  <c r="C67" i="35"/>
  <c r="J67" i="35" s="1"/>
  <c r="B68" i="34"/>
  <c r="C67" i="34"/>
  <c r="J67" i="34" s="1"/>
  <c r="P79" i="34" s="1"/>
  <c r="K68" i="37"/>
  <c r="E68" i="37"/>
  <c r="K69" i="32"/>
  <c r="E69" i="32"/>
  <c r="B69" i="48"/>
  <c r="C68" i="48"/>
  <c r="J68" i="48" s="1"/>
  <c r="P68" i="48" s="1"/>
  <c r="E65" i="9" s="1"/>
  <c r="D69" i="33"/>
  <c r="I69" i="33"/>
  <c r="O69" i="33" s="1"/>
  <c r="B68" i="36"/>
  <c r="C67" i="36"/>
  <c r="J67" i="36" s="1"/>
  <c r="I69" i="54" l="1"/>
  <c r="D69" i="54"/>
  <c r="F70" i="52"/>
  <c r="C73" i="53"/>
  <c r="J73" i="53" s="1"/>
  <c r="P73" i="53" s="1"/>
  <c r="B74" i="53"/>
  <c r="D68" i="35"/>
  <c r="I68" i="35"/>
  <c r="D68" i="34"/>
  <c r="I68" i="34"/>
  <c r="O80" i="34" s="1"/>
  <c r="B69" i="37"/>
  <c r="C68" i="37"/>
  <c r="J68" i="37" s="1"/>
  <c r="B70" i="32"/>
  <c r="C69" i="32"/>
  <c r="J69" i="32" s="1"/>
  <c r="D69" i="48"/>
  <c r="I69" i="48"/>
  <c r="O69" i="48" s="1"/>
  <c r="D66" i="9" s="1"/>
  <c r="D68" i="36"/>
  <c r="I68" i="36"/>
  <c r="K69" i="33"/>
  <c r="Q69" i="33" s="1"/>
  <c r="R69" i="33" s="1"/>
  <c r="E69" i="33"/>
  <c r="E69" i="54" l="1"/>
  <c r="K69" i="54"/>
  <c r="E70" i="52"/>
  <c r="I74" i="53"/>
  <c r="O74" i="53" s="1"/>
  <c r="D74" i="53"/>
  <c r="K68" i="35"/>
  <c r="E68" i="35"/>
  <c r="K68" i="34"/>
  <c r="Q80" i="34" s="1"/>
  <c r="R80" i="34" s="1"/>
  <c r="E68" i="34"/>
  <c r="D69" i="37"/>
  <c r="I69" i="37"/>
  <c r="D70" i="32"/>
  <c r="I70" i="32"/>
  <c r="K69" i="48"/>
  <c r="Q69" i="48" s="1"/>
  <c r="E69" i="48"/>
  <c r="B70" i="33"/>
  <c r="C69" i="33"/>
  <c r="J69" i="33" s="1"/>
  <c r="P69" i="33" s="1"/>
  <c r="K68" i="36"/>
  <c r="E68" i="36"/>
  <c r="B70" i="54" l="1"/>
  <c r="C69" i="54"/>
  <c r="J69" i="54" s="1"/>
  <c r="E74" i="53"/>
  <c r="K74" i="53"/>
  <c r="Q74" i="53" s="1"/>
  <c r="D71" i="52"/>
  <c r="F66" i="9"/>
  <c r="R69" i="48"/>
  <c r="B69" i="35"/>
  <c r="C68" i="35"/>
  <c r="J68" i="35" s="1"/>
  <c r="B69" i="34"/>
  <c r="C68" i="34"/>
  <c r="J68" i="34" s="1"/>
  <c r="P80" i="34" s="1"/>
  <c r="K69" i="37"/>
  <c r="E69" i="37"/>
  <c r="K70" i="32"/>
  <c r="E70" i="32"/>
  <c r="B70" i="48"/>
  <c r="C69" i="48"/>
  <c r="J69" i="48" s="1"/>
  <c r="P69" i="48" s="1"/>
  <c r="E66" i="9" s="1"/>
  <c r="B69" i="36"/>
  <c r="C68" i="36"/>
  <c r="J68" i="36" s="1"/>
  <c r="D70" i="33"/>
  <c r="I70" i="33"/>
  <c r="O70" i="33" s="1"/>
  <c r="I70" i="54" l="1"/>
  <c r="D70" i="54"/>
  <c r="F71" i="52"/>
  <c r="C74" i="53"/>
  <c r="J74" i="53" s="1"/>
  <c r="P74" i="53" s="1"/>
  <c r="B75" i="53"/>
  <c r="D69" i="35"/>
  <c r="I69" i="35"/>
  <c r="D69" i="34"/>
  <c r="I69" i="34"/>
  <c r="O81" i="34" s="1"/>
  <c r="C69" i="37"/>
  <c r="J69" i="37" s="1"/>
  <c r="B70" i="37"/>
  <c r="B71" i="32"/>
  <c r="C70" i="32"/>
  <c r="J70" i="32" s="1"/>
  <c r="I70" i="48"/>
  <c r="O70" i="48" s="1"/>
  <c r="D67" i="9" s="1"/>
  <c r="D70" i="48"/>
  <c r="K70" i="33"/>
  <c r="Q70" i="33" s="1"/>
  <c r="R70" i="33" s="1"/>
  <c r="E70" i="33"/>
  <c r="D69" i="36"/>
  <c r="I69" i="36"/>
  <c r="E70" i="54" l="1"/>
  <c r="K70" i="54"/>
  <c r="E71" i="52"/>
  <c r="I75" i="53"/>
  <c r="O75" i="53" s="1"/>
  <c r="D75" i="53"/>
  <c r="K69" i="35"/>
  <c r="E69" i="35"/>
  <c r="K69" i="34"/>
  <c r="Q81" i="34" s="1"/>
  <c r="R81" i="34" s="1"/>
  <c r="E69" i="34"/>
  <c r="I70" i="37"/>
  <c r="D70" i="37"/>
  <c r="D71" i="32"/>
  <c r="I71" i="32"/>
  <c r="K70" i="48"/>
  <c r="Q70" i="48" s="1"/>
  <c r="E70" i="48"/>
  <c r="K69" i="36"/>
  <c r="E69" i="36"/>
  <c r="B71" i="33"/>
  <c r="C70" i="33"/>
  <c r="J70" i="33" s="1"/>
  <c r="P70" i="33" s="1"/>
  <c r="C70" i="54" l="1"/>
  <c r="J70" i="54" s="1"/>
  <c r="B71" i="54"/>
  <c r="E75" i="53"/>
  <c r="K75" i="53"/>
  <c r="Q75" i="53" s="1"/>
  <c r="D72" i="52"/>
  <c r="F67" i="9"/>
  <c r="R70" i="48"/>
  <c r="C69" i="35"/>
  <c r="J69" i="35" s="1"/>
  <c r="B70" i="35"/>
  <c r="C69" i="34"/>
  <c r="J69" i="34" s="1"/>
  <c r="P81" i="34" s="1"/>
  <c r="B70" i="34"/>
  <c r="K70" i="37"/>
  <c r="E70" i="37"/>
  <c r="F71" i="32"/>
  <c r="K71" i="32"/>
  <c r="E71" i="32"/>
  <c r="B71" i="48"/>
  <c r="C70" i="48"/>
  <c r="J70" i="48" s="1"/>
  <c r="P70" i="48" s="1"/>
  <c r="E67" i="9" s="1"/>
  <c r="B70" i="36"/>
  <c r="C69" i="36"/>
  <c r="J69" i="36" s="1"/>
  <c r="I71" i="33"/>
  <c r="O71" i="33" s="1"/>
  <c r="O7" i="33" s="1"/>
  <c r="D71" i="33"/>
  <c r="I71" i="54" l="1"/>
  <c r="D71" i="54"/>
  <c r="F72" i="52"/>
  <c r="C75" i="53"/>
  <c r="J75" i="53" s="1"/>
  <c r="P75" i="53" s="1"/>
  <c r="B76" i="53"/>
  <c r="D70" i="35"/>
  <c r="I70" i="35"/>
  <c r="D70" i="34"/>
  <c r="I70" i="34"/>
  <c r="O82" i="34" s="1"/>
  <c r="C70" i="37"/>
  <c r="J70" i="37" s="1"/>
  <c r="B71" i="37"/>
  <c r="B72" i="32"/>
  <c r="C71" i="32"/>
  <c r="J71" i="32" s="1"/>
  <c r="D71" i="48"/>
  <c r="I71" i="48"/>
  <c r="O71" i="48" s="1"/>
  <c r="K71" i="33"/>
  <c r="Q71" i="33" s="1"/>
  <c r="F71" i="33"/>
  <c r="E71" i="33"/>
  <c r="D70" i="36"/>
  <c r="I70" i="36"/>
  <c r="E71" i="54" l="1"/>
  <c r="K71" i="54"/>
  <c r="Q7" i="33"/>
  <c r="S71" i="33"/>
  <c r="R71" i="33"/>
  <c r="E72" i="52"/>
  <c r="I76" i="53"/>
  <c r="O76" i="53" s="1"/>
  <c r="D76" i="53"/>
  <c r="D68" i="9"/>
  <c r="I13" i="9" s="1"/>
  <c r="O7" i="48"/>
  <c r="E70" i="35"/>
  <c r="K70" i="35"/>
  <c r="K70" i="34"/>
  <c r="Q82" i="34" s="1"/>
  <c r="R82" i="34" s="1"/>
  <c r="E70" i="34"/>
  <c r="D71" i="37"/>
  <c r="I71" i="37"/>
  <c r="I72" i="32"/>
  <c r="D72" i="32"/>
  <c r="K71" i="48"/>
  <c r="Q71" i="48" s="1"/>
  <c r="F71" i="48"/>
  <c r="E71" i="48"/>
  <c r="B72" i="33"/>
  <c r="C71" i="33"/>
  <c r="J71" i="33" s="1"/>
  <c r="P71" i="33" s="1"/>
  <c r="P7" i="33" s="1"/>
  <c r="K70" i="36"/>
  <c r="E70" i="36"/>
  <c r="B72" i="54" l="1"/>
  <c r="C71" i="54"/>
  <c r="J71" i="54" s="1"/>
  <c r="S7" i="33"/>
  <c r="T6" i="33"/>
  <c r="S6" i="33"/>
  <c r="R7" i="33"/>
  <c r="D73" i="52"/>
  <c r="E76" i="53"/>
  <c r="K76" i="53"/>
  <c r="Q76" i="53" s="1"/>
  <c r="F68" i="9"/>
  <c r="K13" i="9" s="1"/>
  <c r="Q7" i="48"/>
  <c r="S71" i="48"/>
  <c r="R71" i="48"/>
  <c r="B71" i="35"/>
  <c r="C70" i="35"/>
  <c r="J70" i="35" s="1"/>
  <c r="B71" i="34"/>
  <c r="C70" i="34"/>
  <c r="J70" i="34" s="1"/>
  <c r="P82" i="34" s="1"/>
  <c r="F71" i="37"/>
  <c r="E71" i="37"/>
  <c r="K71" i="37"/>
  <c r="K72" i="32"/>
  <c r="E72" i="32"/>
  <c r="B72" i="48"/>
  <c r="C71" i="48"/>
  <c r="J71" i="48" s="1"/>
  <c r="P71" i="48" s="1"/>
  <c r="D72" i="33"/>
  <c r="I72" i="33"/>
  <c r="O72" i="33" s="1"/>
  <c r="B71" i="36"/>
  <c r="C70" i="36"/>
  <c r="J70" i="36" s="1"/>
  <c r="I72" i="54" l="1"/>
  <c r="D72" i="54"/>
  <c r="U6" i="33"/>
  <c r="F73" i="52"/>
  <c r="B77" i="53"/>
  <c r="C76" i="53"/>
  <c r="J76" i="53" s="1"/>
  <c r="P76" i="53" s="1"/>
  <c r="E68" i="9"/>
  <c r="J13" i="9" s="1"/>
  <c r="P39" i="18" s="1"/>
  <c r="H37" i="20" s="1"/>
  <c r="H39" i="20" s="1"/>
  <c r="P7" i="48"/>
  <c r="T6" i="48"/>
  <c r="X14" i="32" s="1"/>
  <c r="N12" i="9" s="1"/>
  <c r="S6" i="48"/>
  <c r="R7" i="48"/>
  <c r="I71" i="35"/>
  <c r="D71" i="35"/>
  <c r="I71" i="34"/>
  <c r="O83" i="34" s="1"/>
  <c r="O8" i="34" s="1"/>
  <c r="D71" i="34"/>
  <c r="C71" i="37"/>
  <c r="J71" i="37" s="1"/>
  <c r="B72" i="37"/>
  <c r="B73" i="32"/>
  <c r="C72" i="32"/>
  <c r="J72" i="32" s="1"/>
  <c r="I72" i="48"/>
  <c r="O72" i="48" s="1"/>
  <c r="D72" i="48"/>
  <c r="D71" i="36"/>
  <c r="I71" i="36"/>
  <c r="K72" i="33"/>
  <c r="Q72" i="33" s="1"/>
  <c r="E72" i="33"/>
  <c r="E72" i="54" l="1"/>
  <c r="K72" i="54"/>
  <c r="R72" i="33"/>
  <c r="E73" i="52"/>
  <c r="I77" i="53"/>
  <c r="O77" i="53" s="1"/>
  <c r="D74" i="52" s="1"/>
  <c r="D77" i="53"/>
  <c r="Q39" i="18"/>
  <c r="R33" i="18"/>
  <c r="H22" i="20"/>
  <c r="P40" i="18"/>
  <c r="R39" i="18"/>
  <c r="AC31" i="18"/>
  <c r="AD31" i="18" s="1"/>
  <c r="L13" i="9"/>
  <c r="V15" i="32"/>
  <c r="D69" i="9"/>
  <c r="U6" i="48"/>
  <c r="Y14" i="32" s="1"/>
  <c r="W14" i="32"/>
  <c r="M12" i="9" s="1"/>
  <c r="K71" i="35"/>
  <c r="F71" i="35"/>
  <c r="E71" i="35"/>
  <c r="K71" i="34"/>
  <c r="Q83" i="34" s="1"/>
  <c r="F71" i="34"/>
  <c r="E71" i="34"/>
  <c r="I72" i="37"/>
  <c r="D72" i="37"/>
  <c r="D73" i="32"/>
  <c r="I73" i="32"/>
  <c r="K72" i="48"/>
  <c r="Q72" i="48" s="1"/>
  <c r="E72" i="48"/>
  <c r="K71" i="36"/>
  <c r="F71" i="36"/>
  <c r="E71" i="36"/>
  <c r="B73" i="33"/>
  <c r="C72" i="33"/>
  <c r="J72" i="33" s="1"/>
  <c r="P72" i="33" s="1"/>
  <c r="Q8" i="34" l="1"/>
  <c r="R8" i="34" s="1"/>
  <c r="S83" i="34"/>
  <c r="T7" i="34" s="1"/>
  <c r="U7" i="34" s="1"/>
  <c r="R83" i="34"/>
  <c r="C72" i="54"/>
  <c r="J72" i="54" s="1"/>
  <c r="B73" i="54"/>
  <c r="E77" i="53"/>
  <c r="K77" i="53"/>
  <c r="Q77" i="53" s="1"/>
  <c r="F74" i="52" s="1"/>
  <c r="J29" i="19"/>
  <c r="J33" i="19"/>
  <c r="O12" i="9"/>
  <c r="F69" i="9"/>
  <c r="R72" i="48"/>
  <c r="P41" i="18"/>
  <c r="R40" i="18"/>
  <c r="Q40" i="18"/>
  <c r="AC33" i="18"/>
  <c r="AD33" i="18" s="1"/>
  <c r="AV32" i="20"/>
  <c r="B72" i="35"/>
  <c r="C71" i="35"/>
  <c r="J71" i="35" s="1"/>
  <c r="B72" i="34"/>
  <c r="C71" i="34"/>
  <c r="J71" i="34" s="1"/>
  <c r="P83" i="34" s="1"/>
  <c r="P8" i="34" s="1"/>
  <c r="K72" i="37"/>
  <c r="E72" i="37"/>
  <c r="K73" i="32"/>
  <c r="E73" i="32"/>
  <c r="B73" i="48"/>
  <c r="C72" i="48"/>
  <c r="J72" i="48" s="1"/>
  <c r="P72" i="48" s="1"/>
  <c r="I73" i="33"/>
  <c r="O73" i="33" s="1"/>
  <c r="D73" i="33"/>
  <c r="B72" i="36"/>
  <c r="C71" i="36"/>
  <c r="J71" i="36" s="1"/>
  <c r="I73" i="54" l="1"/>
  <c r="D73" i="54"/>
  <c r="AV35" i="20"/>
  <c r="B78" i="53"/>
  <c r="C77" i="53"/>
  <c r="J77" i="53" s="1"/>
  <c r="P77" i="53" s="1"/>
  <c r="E74" i="52" s="1"/>
  <c r="J28" i="19"/>
  <c r="J41" i="19"/>
  <c r="P44" i="18"/>
  <c r="R41" i="18"/>
  <c r="Q41" i="18"/>
  <c r="E69" i="9"/>
  <c r="J32" i="19"/>
  <c r="U17" i="19" s="1"/>
  <c r="D72" i="35"/>
  <c r="I72" i="35"/>
  <c r="D72" i="34"/>
  <c r="I72" i="34"/>
  <c r="B73" i="37"/>
  <c r="C72" i="37"/>
  <c r="J72" i="37" s="1"/>
  <c r="B74" i="32"/>
  <c r="C73" i="32"/>
  <c r="J73" i="32" s="1"/>
  <c r="I73" i="48"/>
  <c r="O73" i="48" s="1"/>
  <c r="D73" i="48"/>
  <c r="I72" i="36"/>
  <c r="D72" i="36"/>
  <c r="K73" i="33"/>
  <c r="Q73" i="33" s="1"/>
  <c r="E73" i="33"/>
  <c r="E73" i="54" l="1"/>
  <c r="K73" i="54"/>
  <c r="R73" i="33"/>
  <c r="I78" i="53"/>
  <c r="O78" i="53" s="1"/>
  <c r="D75" i="52" s="1"/>
  <c r="D78" i="53"/>
  <c r="D70" i="9"/>
  <c r="R44" i="18"/>
  <c r="Q44" i="18"/>
  <c r="AC37" i="18"/>
  <c r="AD37" i="18" s="1"/>
  <c r="P45" i="18"/>
  <c r="U15" i="19"/>
  <c r="U19" i="19" s="1"/>
  <c r="J45" i="19"/>
  <c r="G28" i="20"/>
  <c r="J39" i="19"/>
  <c r="J44" i="19"/>
  <c r="E72" i="35"/>
  <c r="K72" i="35"/>
  <c r="K72" i="34"/>
  <c r="E72" i="34"/>
  <c r="I73" i="37"/>
  <c r="D73" i="37"/>
  <c r="D74" i="32"/>
  <c r="I74" i="32"/>
  <c r="K73" i="48"/>
  <c r="Q73" i="48" s="1"/>
  <c r="E73" i="48"/>
  <c r="B74" i="33"/>
  <c r="C73" i="33"/>
  <c r="J73" i="33" s="1"/>
  <c r="P73" i="33" s="1"/>
  <c r="K72" i="36"/>
  <c r="E72" i="36"/>
  <c r="C73" i="54" l="1"/>
  <c r="J73" i="54" s="1"/>
  <c r="B74" i="54"/>
  <c r="E78" i="53"/>
  <c r="K78" i="53"/>
  <c r="Q78" i="53" s="1"/>
  <c r="F75" i="52" s="1"/>
  <c r="K44" i="19"/>
  <c r="G20" i="20"/>
  <c r="O20" i="20"/>
  <c r="K45" i="19"/>
  <c r="F70" i="9"/>
  <c r="R73" i="48"/>
  <c r="J18" i="19"/>
  <c r="O16" i="20" s="1"/>
  <c r="K41" i="19"/>
  <c r="K22" i="19"/>
  <c r="O19" i="20"/>
  <c r="K24" i="19"/>
  <c r="K20" i="19"/>
  <c r="K33" i="19"/>
  <c r="G19" i="20"/>
  <c r="AT26" i="20" s="1"/>
  <c r="K23" i="19"/>
  <c r="O21" i="20"/>
  <c r="K32" i="19"/>
  <c r="V17" i="19" s="1"/>
  <c r="K28" i="19"/>
  <c r="K27" i="19"/>
  <c r="K37" i="19"/>
  <c r="K21" i="19"/>
  <c r="G10" i="20"/>
  <c r="K42" i="19"/>
  <c r="K30" i="19"/>
  <c r="G6" i="20"/>
  <c r="AT17" i="20" s="1"/>
  <c r="K29" i="19"/>
  <c r="K38" i="19"/>
  <c r="K31" i="19"/>
  <c r="K35" i="19"/>
  <c r="G21" i="20"/>
  <c r="AT29" i="20" s="1"/>
  <c r="K34" i="19"/>
  <c r="K26" i="19"/>
  <c r="K36" i="19"/>
  <c r="K25" i="19"/>
  <c r="P46" i="18"/>
  <c r="AC39" i="18"/>
  <c r="AD39" i="18" s="1"/>
  <c r="L38" i="19"/>
  <c r="Q45" i="18"/>
  <c r="R45" i="18"/>
  <c r="B73" i="35"/>
  <c r="C72" i="35"/>
  <c r="J72" i="35" s="1"/>
  <c r="B73" i="34"/>
  <c r="C72" i="34"/>
  <c r="J72" i="34" s="1"/>
  <c r="K73" i="37"/>
  <c r="E73" i="37"/>
  <c r="K74" i="32"/>
  <c r="E74" i="32"/>
  <c r="B74" i="48"/>
  <c r="C73" i="48"/>
  <c r="J73" i="48" s="1"/>
  <c r="P73" i="48" s="1"/>
  <c r="I74" i="33"/>
  <c r="O74" i="33" s="1"/>
  <c r="D74" i="33"/>
  <c r="B73" i="36"/>
  <c r="C72" i="36"/>
  <c r="J72" i="36" s="1"/>
  <c r="P49" i="18" l="1"/>
  <c r="E30" i="20"/>
  <c r="G15" i="20"/>
  <c r="AT23" i="20" s="1"/>
  <c r="I74" i="54"/>
  <c r="D74" i="54"/>
  <c r="C78" i="53"/>
  <c r="J78" i="53" s="1"/>
  <c r="P78" i="53" s="1"/>
  <c r="E75" i="52" s="1"/>
  <c r="B79" i="53"/>
  <c r="G16" i="20"/>
  <c r="O15" i="20"/>
  <c r="J116" i="4"/>
  <c r="J118" i="4" s="1"/>
  <c r="O69" i="18"/>
  <c r="J15" i="19"/>
  <c r="AT11" i="20"/>
  <c r="W23" i="20"/>
  <c r="V15" i="19"/>
  <c r="E70" i="9"/>
  <c r="R46" i="18"/>
  <c r="AJ20" i="20"/>
  <c r="D41" i="20"/>
  <c r="D30" i="20" s="1"/>
  <c r="AC41" i="18"/>
  <c r="AD41" i="18" s="1"/>
  <c r="L25" i="19"/>
  <c r="Q46" i="18"/>
  <c r="AK20" i="20" s="1"/>
  <c r="F30" i="20"/>
  <c r="G30" i="20"/>
  <c r="V13" i="19"/>
  <c r="W20" i="20"/>
  <c r="AU14" i="20"/>
  <c r="K39" i="19"/>
  <c r="D73" i="35"/>
  <c r="I73" i="35"/>
  <c r="D73" i="34"/>
  <c r="I73" i="34"/>
  <c r="B74" i="37"/>
  <c r="C73" i="37"/>
  <c r="J73" i="37" s="1"/>
  <c r="B75" i="32"/>
  <c r="C74" i="32"/>
  <c r="J74" i="32" s="1"/>
  <c r="I74" i="48"/>
  <c r="O74" i="48" s="1"/>
  <c r="D74" i="48"/>
  <c r="K74" i="33"/>
  <c r="Q74" i="33" s="1"/>
  <c r="E74" i="33"/>
  <c r="I73" i="36"/>
  <c r="D73" i="36"/>
  <c r="W23" i="64" l="1"/>
  <c r="E74" i="54"/>
  <c r="K74" i="54"/>
  <c r="R74" i="33"/>
  <c r="I79" i="53"/>
  <c r="O79" i="53" s="1"/>
  <c r="D76" i="52" s="1"/>
  <c r="D79" i="53"/>
  <c r="V19" i="19"/>
  <c r="W18" i="20"/>
  <c r="L20" i="19"/>
  <c r="Q49" i="18"/>
  <c r="AK23" i="20" s="1"/>
  <c r="AJ23" i="20"/>
  <c r="BD34" i="20"/>
  <c r="U9" i="19"/>
  <c r="U11" i="19" s="1"/>
  <c r="J19" i="19"/>
  <c r="D71" i="9"/>
  <c r="K73" i="35"/>
  <c r="E73" i="35"/>
  <c r="K73" i="34"/>
  <c r="E73" i="34"/>
  <c r="D74" i="37"/>
  <c r="I74" i="37"/>
  <c r="D75" i="32"/>
  <c r="I75" i="32"/>
  <c r="K74" i="48"/>
  <c r="Q74" i="48" s="1"/>
  <c r="E74" i="48"/>
  <c r="K73" i="36"/>
  <c r="E73" i="36"/>
  <c r="B75" i="33"/>
  <c r="C74" i="33"/>
  <c r="J74" i="33" s="1"/>
  <c r="P74" i="33" s="1"/>
  <c r="C74" i="54" l="1"/>
  <c r="J74" i="54" s="1"/>
  <c r="B75" i="54"/>
  <c r="E79" i="53"/>
  <c r="K79" i="53"/>
  <c r="Q79" i="53" s="1"/>
  <c r="F76" i="52" s="1"/>
  <c r="K12" i="19"/>
  <c r="K10" i="19"/>
  <c r="K9" i="19"/>
  <c r="K17" i="19"/>
  <c r="K18" i="19"/>
  <c r="AU11" i="20" s="1"/>
  <c r="K16" i="19"/>
  <c r="J47" i="19"/>
  <c r="K13" i="19"/>
  <c r="K14" i="19"/>
  <c r="H30" i="20"/>
  <c r="K7" i="19"/>
  <c r="W16" i="20"/>
  <c r="K15" i="19"/>
  <c r="K11" i="19"/>
  <c r="K8" i="19"/>
  <c r="G8" i="20"/>
  <c r="AT20" i="20" s="1"/>
  <c r="G14" i="20"/>
  <c r="O14" i="20"/>
  <c r="F71" i="9"/>
  <c r="R74" i="48"/>
  <c r="D35" i="20"/>
  <c r="D32" i="20"/>
  <c r="AV14" i="20"/>
  <c r="W13" i="19"/>
  <c r="B74" i="35"/>
  <c r="C73" i="35"/>
  <c r="J73" i="35" s="1"/>
  <c r="B74" i="34"/>
  <c r="C73" i="34"/>
  <c r="J73" i="34" s="1"/>
  <c r="K74" i="37"/>
  <c r="E74" i="37"/>
  <c r="K75" i="32"/>
  <c r="E75" i="32"/>
  <c r="B75" i="48"/>
  <c r="C74" i="48"/>
  <c r="J74" i="48" s="1"/>
  <c r="P74" i="48" s="1"/>
  <c r="I75" i="33"/>
  <c r="O75" i="33" s="1"/>
  <c r="D75" i="33"/>
  <c r="B74" i="36"/>
  <c r="C73" i="36"/>
  <c r="J73" i="36" s="1"/>
  <c r="I75" i="54" l="1"/>
  <c r="D75" i="54"/>
  <c r="B80" i="53"/>
  <c r="C79" i="53"/>
  <c r="J79" i="53" s="1"/>
  <c r="P79" i="53" s="1"/>
  <c r="E76" i="52" s="1"/>
  <c r="K19" i="19"/>
  <c r="W8" i="20"/>
  <c r="V7" i="19"/>
  <c r="V9" i="19"/>
  <c r="W11" i="20"/>
  <c r="E71" i="9"/>
  <c r="I74" i="35"/>
  <c r="D74" i="35"/>
  <c r="D74" i="34"/>
  <c r="I74" i="34"/>
  <c r="B75" i="37"/>
  <c r="C74" i="37"/>
  <c r="J74" i="37" s="1"/>
  <c r="B76" i="32"/>
  <c r="C75" i="32"/>
  <c r="J75" i="32" s="1"/>
  <c r="I75" i="48"/>
  <c r="O75" i="48" s="1"/>
  <c r="D75" i="48"/>
  <c r="K75" i="33"/>
  <c r="Q75" i="33" s="1"/>
  <c r="E75" i="33"/>
  <c r="I74" i="36"/>
  <c r="D74" i="36"/>
  <c r="E75" i="54" l="1"/>
  <c r="K75" i="54"/>
  <c r="R75" i="33"/>
  <c r="I80" i="53"/>
  <c r="O80" i="53" s="1"/>
  <c r="D77" i="52" s="1"/>
  <c r="D80" i="53"/>
  <c r="W14" i="20"/>
  <c r="D72" i="9"/>
  <c r="V11" i="19"/>
  <c r="E74" i="35"/>
  <c r="K74" i="35"/>
  <c r="K74" i="34"/>
  <c r="E74" i="34"/>
  <c r="I75" i="37"/>
  <c r="D75" i="37"/>
  <c r="I76" i="32"/>
  <c r="D76" i="32"/>
  <c r="K75" i="48"/>
  <c r="Q75" i="48" s="1"/>
  <c r="E75" i="48"/>
  <c r="K74" i="36"/>
  <c r="E74" i="36"/>
  <c r="B76" i="33"/>
  <c r="C75" i="33"/>
  <c r="J75" i="33" s="1"/>
  <c r="P75" i="33" s="1"/>
  <c r="C75" i="54" l="1"/>
  <c r="J75" i="54" s="1"/>
  <c r="B76" i="54"/>
  <c r="E80" i="53"/>
  <c r="K80" i="53"/>
  <c r="Q80" i="53" s="1"/>
  <c r="F77" i="52" s="1"/>
  <c r="F72" i="9"/>
  <c r="R75" i="48"/>
  <c r="B75" i="35"/>
  <c r="C74" i="35"/>
  <c r="J74" i="35" s="1"/>
  <c r="B75" i="34"/>
  <c r="C74" i="34"/>
  <c r="J74" i="34" s="1"/>
  <c r="K75" i="37"/>
  <c r="E75" i="37"/>
  <c r="K76" i="32"/>
  <c r="E76" i="32"/>
  <c r="B76" i="48"/>
  <c r="C75" i="48"/>
  <c r="J75" i="48" s="1"/>
  <c r="P75" i="48" s="1"/>
  <c r="I76" i="33"/>
  <c r="O76" i="33" s="1"/>
  <c r="D76" i="33"/>
  <c r="B75" i="36"/>
  <c r="C74" i="36"/>
  <c r="J74" i="36" s="1"/>
  <c r="I76" i="54" l="1"/>
  <c r="D76" i="54"/>
  <c r="C80" i="53"/>
  <c r="J80" i="53" s="1"/>
  <c r="P80" i="53" s="1"/>
  <c r="E77" i="52" s="1"/>
  <c r="B81" i="53"/>
  <c r="E72" i="9"/>
  <c r="I75" i="35"/>
  <c r="D75" i="35"/>
  <c r="D75" i="34"/>
  <c r="I75" i="34"/>
  <c r="C75" i="37"/>
  <c r="J75" i="37" s="1"/>
  <c r="B76" i="37"/>
  <c r="B77" i="32"/>
  <c r="C76" i="32"/>
  <c r="J76" i="32" s="1"/>
  <c r="D76" i="48"/>
  <c r="I76" i="48"/>
  <c r="O76" i="48" s="1"/>
  <c r="K76" i="33"/>
  <c r="Q76" i="33" s="1"/>
  <c r="E76" i="33"/>
  <c r="D75" i="36"/>
  <c r="I75" i="36"/>
  <c r="E76" i="54" l="1"/>
  <c r="K76" i="54"/>
  <c r="R76" i="33"/>
  <c r="I81" i="53"/>
  <c r="O81" i="53" s="1"/>
  <c r="D78" i="52" s="1"/>
  <c r="D81" i="53"/>
  <c r="D73" i="9"/>
  <c r="K75" i="35"/>
  <c r="E75" i="35"/>
  <c r="K75" i="34"/>
  <c r="E75" i="34"/>
  <c r="D76" i="37"/>
  <c r="I76" i="37"/>
  <c r="I77" i="32"/>
  <c r="D77" i="32"/>
  <c r="K76" i="48"/>
  <c r="Q76" i="48" s="1"/>
  <c r="E76" i="48"/>
  <c r="K75" i="36"/>
  <c r="E75" i="36"/>
  <c r="B77" i="33"/>
  <c r="C76" i="33"/>
  <c r="J76" i="33" s="1"/>
  <c r="P76" i="33" s="1"/>
  <c r="B77" i="54" l="1"/>
  <c r="C76" i="54"/>
  <c r="J76" i="54" s="1"/>
  <c r="E81" i="53"/>
  <c r="K81" i="53"/>
  <c r="Q81" i="53" s="1"/>
  <c r="F78" i="52" s="1"/>
  <c r="F73" i="9"/>
  <c r="R76" i="48"/>
  <c r="B76" i="35"/>
  <c r="C75" i="35"/>
  <c r="J75" i="35" s="1"/>
  <c r="B76" i="34"/>
  <c r="C75" i="34"/>
  <c r="J75" i="34" s="1"/>
  <c r="K76" i="37"/>
  <c r="E76" i="37"/>
  <c r="K77" i="32"/>
  <c r="E77" i="32"/>
  <c r="B77" i="48"/>
  <c r="C76" i="48"/>
  <c r="J76" i="48" s="1"/>
  <c r="P76" i="48" s="1"/>
  <c r="B76" i="36"/>
  <c r="C75" i="36"/>
  <c r="J75" i="36" s="1"/>
  <c r="I77" i="33"/>
  <c r="O77" i="33" s="1"/>
  <c r="D77" i="33"/>
  <c r="I77" i="54" l="1"/>
  <c r="D77" i="54"/>
  <c r="C81" i="53"/>
  <c r="J81" i="53" s="1"/>
  <c r="P81" i="53" s="1"/>
  <c r="E78" i="52" s="1"/>
  <c r="B82" i="53"/>
  <c r="E73" i="9"/>
  <c r="D76" i="35"/>
  <c r="I76" i="35"/>
  <c r="D76" i="34"/>
  <c r="I76" i="34"/>
  <c r="B77" i="37"/>
  <c r="C76" i="37"/>
  <c r="J76" i="37" s="1"/>
  <c r="B78" i="32"/>
  <c r="C77" i="32"/>
  <c r="J77" i="32" s="1"/>
  <c r="D77" i="48"/>
  <c r="I77" i="48"/>
  <c r="O77" i="48" s="1"/>
  <c r="D74" i="9" s="1"/>
  <c r="I76" i="36"/>
  <c r="D76" i="36"/>
  <c r="K77" i="33"/>
  <c r="Q77" i="33" s="1"/>
  <c r="R77" i="33" s="1"/>
  <c r="E77" i="33"/>
  <c r="E77" i="54" l="1"/>
  <c r="K77" i="54"/>
  <c r="I82" i="53"/>
  <c r="O82" i="53" s="1"/>
  <c r="D79" i="52" s="1"/>
  <c r="D82" i="53"/>
  <c r="K76" i="35"/>
  <c r="E76" i="35"/>
  <c r="K76" i="34"/>
  <c r="E76" i="34"/>
  <c r="I77" i="37"/>
  <c r="D77" i="37"/>
  <c r="D78" i="32"/>
  <c r="I78" i="32"/>
  <c r="K77" i="48"/>
  <c r="Q77" i="48" s="1"/>
  <c r="E77" i="48"/>
  <c r="B78" i="33"/>
  <c r="C77" i="33"/>
  <c r="J77" i="33" s="1"/>
  <c r="P77" i="33" s="1"/>
  <c r="K76" i="36"/>
  <c r="E76" i="36"/>
  <c r="B78" i="54" l="1"/>
  <c r="C77" i="54"/>
  <c r="J77" i="54" s="1"/>
  <c r="E82" i="53"/>
  <c r="K82" i="53"/>
  <c r="Q82" i="53" s="1"/>
  <c r="F79" i="52" s="1"/>
  <c r="F74" i="9"/>
  <c r="R77" i="48"/>
  <c r="B77" i="35"/>
  <c r="C76" i="35"/>
  <c r="J76" i="35" s="1"/>
  <c r="B77" i="34"/>
  <c r="C76" i="34"/>
  <c r="J76" i="34" s="1"/>
  <c r="K77" i="37"/>
  <c r="E77" i="37"/>
  <c r="K78" i="32"/>
  <c r="E78" i="32"/>
  <c r="B78" i="48"/>
  <c r="C77" i="48"/>
  <c r="J77" i="48" s="1"/>
  <c r="P77" i="48" s="1"/>
  <c r="E74" i="9" s="1"/>
  <c r="B77" i="36"/>
  <c r="C76" i="36"/>
  <c r="J76" i="36" s="1"/>
  <c r="I78" i="33"/>
  <c r="O78" i="33" s="1"/>
  <c r="D78" i="33"/>
  <c r="I78" i="54" l="1"/>
  <c r="D78" i="54"/>
  <c r="C82" i="53"/>
  <c r="J82" i="53" s="1"/>
  <c r="P82" i="53" s="1"/>
  <c r="E79" i="52" s="1"/>
  <c r="B83" i="53"/>
  <c r="D77" i="35"/>
  <c r="I77" i="35"/>
  <c r="D77" i="34"/>
  <c r="I77" i="34"/>
  <c r="C77" i="37"/>
  <c r="J77" i="37" s="1"/>
  <c r="B78" i="37"/>
  <c r="B79" i="32"/>
  <c r="C78" i="32"/>
  <c r="J78" i="32" s="1"/>
  <c r="D78" i="48"/>
  <c r="I78" i="48"/>
  <c r="O78" i="48" s="1"/>
  <c r="D75" i="9" s="1"/>
  <c r="I77" i="36"/>
  <c r="D77" i="36"/>
  <c r="K78" i="33"/>
  <c r="Q78" i="33" s="1"/>
  <c r="R78" i="33" s="1"/>
  <c r="E78" i="33"/>
  <c r="E78" i="54" l="1"/>
  <c r="K78" i="54"/>
  <c r="I83" i="53"/>
  <c r="O83" i="53" s="1"/>
  <c r="D83" i="53"/>
  <c r="K77" i="35"/>
  <c r="E77" i="35"/>
  <c r="K77" i="34"/>
  <c r="E77" i="34"/>
  <c r="I78" i="37"/>
  <c r="D78" i="37"/>
  <c r="I79" i="32"/>
  <c r="D79" i="32"/>
  <c r="K78" i="48"/>
  <c r="Q78" i="48" s="1"/>
  <c r="E78" i="48"/>
  <c r="B79" i="33"/>
  <c r="C78" i="33"/>
  <c r="J78" i="33" s="1"/>
  <c r="P78" i="33" s="1"/>
  <c r="K77" i="36"/>
  <c r="E77" i="36"/>
  <c r="C78" i="54" l="1"/>
  <c r="J78" i="54" s="1"/>
  <c r="B79" i="54"/>
  <c r="E83" i="53"/>
  <c r="C83" i="53" s="1"/>
  <c r="J83" i="53" s="1"/>
  <c r="P83" i="53" s="1"/>
  <c r="K83" i="53"/>
  <c r="Q83" i="53" s="1"/>
  <c r="D80" i="52"/>
  <c r="I14" i="52" s="1"/>
  <c r="O8" i="53"/>
  <c r="F75" i="9"/>
  <c r="R78" i="48"/>
  <c r="B78" i="35"/>
  <c r="C77" i="35"/>
  <c r="J77" i="35" s="1"/>
  <c r="C77" i="34"/>
  <c r="J77" i="34" s="1"/>
  <c r="B78" i="34"/>
  <c r="K78" i="37"/>
  <c r="E78" i="37"/>
  <c r="K79" i="32"/>
  <c r="E79" i="32"/>
  <c r="B79" i="48"/>
  <c r="C78" i="48"/>
  <c r="J78" i="48" s="1"/>
  <c r="P78" i="48" s="1"/>
  <c r="E75" i="9" s="1"/>
  <c r="D79" i="33"/>
  <c r="I79" i="33"/>
  <c r="O79" i="33" s="1"/>
  <c r="B78" i="36"/>
  <c r="C77" i="36"/>
  <c r="J77" i="36" s="1"/>
  <c r="I79" i="54" l="1"/>
  <c r="D79" i="54"/>
  <c r="F80" i="52"/>
  <c r="K14" i="52" s="1"/>
  <c r="Q8" i="53"/>
  <c r="R8" i="53" s="1"/>
  <c r="E80" i="52"/>
  <c r="J14" i="52" s="1"/>
  <c r="P8" i="53"/>
  <c r="D78" i="35"/>
  <c r="I78" i="35"/>
  <c r="D78" i="34"/>
  <c r="I78" i="34"/>
  <c r="C78" i="37"/>
  <c r="J78" i="37" s="1"/>
  <c r="B79" i="37"/>
  <c r="B80" i="32"/>
  <c r="C79" i="32"/>
  <c r="J79" i="32" s="1"/>
  <c r="I79" i="48"/>
  <c r="O79" i="48" s="1"/>
  <c r="D76" i="9" s="1"/>
  <c r="D79" i="48"/>
  <c r="I78" i="36"/>
  <c r="D78" i="36"/>
  <c r="K79" i="33"/>
  <c r="Q79" i="33" s="1"/>
  <c r="R79" i="33" s="1"/>
  <c r="E79" i="33"/>
  <c r="E79" i="54" l="1"/>
  <c r="K79" i="54"/>
  <c r="K78" i="35"/>
  <c r="E78" i="35"/>
  <c r="E78" i="34"/>
  <c r="K78" i="34"/>
  <c r="D79" i="37"/>
  <c r="I79" i="37"/>
  <c r="I80" i="32"/>
  <c r="D80" i="32"/>
  <c r="K79" i="48"/>
  <c r="Q79" i="48" s="1"/>
  <c r="E79" i="48"/>
  <c r="B80" i="33"/>
  <c r="C79" i="33"/>
  <c r="J79" i="33" s="1"/>
  <c r="P79" i="33" s="1"/>
  <c r="K78" i="36"/>
  <c r="E78" i="36"/>
  <c r="C79" i="54" l="1"/>
  <c r="J79" i="54" s="1"/>
  <c r="B80" i="54"/>
  <c r="F76" i="9"/>
  <c r="R79" i="48"/>
  <c r="C78" i="35"/>
  <c r="J78" i="35" s="1"/>
  <c r="B79" i="35"/>
  <c r="B79" i="34"/>
  <c r="C78" i="34"/>
  <c r="J78" i="34" s="1"/>
  <c r="K79" i="37"/>
  <c r="E79" i="37"/>
  <c r="K80" i="32"/>
  <c r="E80" i="32"/>
  <c r="B80" i="48"/>
  <c r="C79" i="48"/>
  <c r="J79" i="48" s="1"/>
  <c r="P79" i="48" s="1"/>
  <c r="E76" i="9" s="1"/>
  <c r="B79" i="36"/>
  <c r="C78" i="36"/>
  <c r="J78" i="36" s="1"/>
  <c r="D80" i="33"/>
  <c r="I80" i="33"/>
  <c r="O80" i="33" s="1"/>
  <c r="I80" i="54" l="1"/>
  <c r="D80" i="54"/>
  <c r="I79" i="35"/>
  <c r="D79" i="35"/>
  <c r="I79" i="34"/>
  <c r="D79" i="34"/>
  <c r="B80" i="37"/>
  <c r="C79" i="37"/>
  <c r="J79" i="37" s="1"/>
  <c r="B81" i="32"/>
  <c r="C80" i="32"/>
  <c r="J80" i="32" s="1"/>
  <c r="D80" i="48"/>
  <c r="I80" i="48"/>
  <c r="O80" i="48" s="1"/>
  <c r="D77" i="9" s="1"/>
  <c r="I79" i="36"/>
  <c r="D79" i="36"/>
  <c r="K80" i="33"/>
  <c r="Q80" i="33" s="1"/>
  <c r="R80" i="33" s="1"/>
  <c r="E80" i="33"/>
  <c r="E80" i="54" l="1"/>
  <c r="K80" i="54"/>
  <c r="K79" i="35"/>
  <c r="E79" i="35"/>
  <c r="K79" i="34"/>
  <c r="E79" i="34"/>
  <c r="I80" i="37"/>
  <c r="D80" i="37"/>
  <c r="D81" i="32"/>
  <c r="I81" i="32"/>
  <c r="K80" i="48"/>
  <c r="Q80" i="48" s="1"/>
  <c r="E80" i="48"/>
  <c r="K79" i="36"/>
  <c r="E79" i="36"/>
  <c r="B81" i="33"/>
  <c r="C80" i="33"/>
  <c r="J80" i="33" s="1"/>
  <c r="P80" i="33" s="1"/>
  <c r="C80" i="54" l="1"/>
  <c r="J80" i="54" s="1"/>
  <c r="B81" i="54"/>
  <c r="F77" i="9"/>
  <c r="R80" i="48"/>
  <c r="B80" i="35"/>
  <c r="C79" i="35"/>
  <c r="J79" i="35" s="1"/>
  <c r="B80" i="34"/>
  <c r="C79" i="34"/>
  <c r="J79" i="34" s="1"/>
  <c r="K80" i="37"/>
  <c r="E80" i="37"/>
  <c r="K81" i="32"/>
  <c r="E81" i="32"/>
  <c r="B81" i="48"/>
  <c r="C80" i="48"/>
  <c r="J80" i="48" s="1"/>
  <c r="P80" i="48" s="1"/>
  <c r="E77" i="9" s="1"/>
  <c r="D81" i="33"/>
  <c r="I81" i="33"/>
  <c r="O81" i="33" s="1"/>
  <c r="B80" i="36"/>
  <c r="C79" i="36"/>
  <c r="J79" i="36" s="1"/>
  <c r="I81" i="54" l="1"/>
  <c r="D81" i="54"/>
  <c r="D80" i="35"/>
  <c r="I80" i="35"/>
  <c r="I80" i="34"/>
  <c r="D80" i="34"/>
  <c r="C80" i="37"/>
  <c r="J80" i="37" s="1"/>
  <c r="B81" i="37"/>
  <c r="B82" i="32"/>
  <c r="C81" i="32"/>
  <c r="J81" i="32" s="1"/>
  <c r="D81" i="48"/>
  <c r="I81" i="48"/>
  <c r="O81" i="48" s="1"/>
  <c r="D78" i="9" s="1"/>
  <c r="K81" i="33"/>
  <c r="Q81" i="33" s="1"/>
  <c r="R81" i="33" s="1"/>
  <c r="E81" i="33"/>
  <c r="I80" i="36"/>
  <c r="D80" i="36"/>
  <c r="E81" i="54" l="1"/>
  <c r="K81" i="54"/>
  <c r="K80" i="35"/>
  <c r="E80" i="35"/>
  <c r="K80" i="34"/>
  <c r="E80" i="34"/>
  <c r="I81" i="37"/>
  <c r="D81" i="37"/>
  <c r="I82" i="32"/>
  <c r="D82" i="32"/>
  <c r="K81" i="48"/>
  <c r="Q81" i="48" s="1"/>
  <c r="E81" i="48"/>
  <c r="K80" i="36"/>
  <c r="E80" i="36"/>
  <c r="B82" i="33"/>
  <c r="C81" i="33"/>
  <c r="J81" i="33" s="1"/>
  <c r="P81" i="33" s="1"/>
  <c r="C81" i="54" l="1"/>
  <c r="J81" i="54" s="1"/>
  <c r="B82" i="54"/>
  <c r="F78" i="9"/>
  <c r="R81" i="48"/>
  <c r="C80" i="35"/>
  <c r="J80" i="35" s="1"/>
  <c r="B81" i="35"/>
  <c r="B81" i="34"/>
  <c r="C80" i="34"/>
  <c r="J80" i="34" s="1"/>
  <c r="E81" i="37"/>
  <c r="K81" i="37"/>
  <c r="K82" i="32"/>
  <c r="E82" i="32"/>
  <c r="B82" i="48"/>
  <c r="C81" i="48"/>
  <c r="J81" i="48" s="1"/>
  <c r="P81" i="48" s="1"/>
  <c r="E78" i="9" s="1"/>
  <c r="I82" i="33"/>
  <c r="O82" i="33" s="1"/>
  <c r="D82" i="33"/>
  <c r="B81" i="36"/>
  <c r="C80" i="36"/>
  <c r="J80" i="36" s="1"/>
  <c r="I82" i="54" l="1"/>
  <c r="D82" i="54"/>
  <c r="D81" i="35"/>
  <c r="I81" i="35"/>
  <c r="D81" i="34"/>
  <c r="I81" i="34"/>
  <c r="B82" i="37"/>
  <c r="C81" i="37"/>
  <c r="J81" i="37" s="1"/>
  <c r="B83" i="32"/>
  <c r="C82" i="32"/>
  <c r="J82" i="32" s="1"/>
  <c r="D82" i="48"/>
  <c r="I82" i="48"/>
  <c r="O82" i="48" s="1"/>
  <c r="D79" i="9" s="1"/>
  <c r="K82" i="33"/>
  <c r="Q82" i="33" s="1"/>
  <c r="R82" i="33" s="1"/>
  <c r="E82" i="33"/>
  <c r="D81" i="36"/>
  <c r="I81" i="36"/>
  <c r="E82" i="54" l="1"/>
  <c r="K82" i="54"/>
  <c r="K81" i="35"/>
  <c r="E81" i="35"/>
  <c r="E81" i="34"/>
  <c r="K81" i="34"/>
  <c r="D82" i="37"/>
  <c r="I82" i="37"/>
  <c r="I83" i="32"/>
  <c r="D83" i="32"/>
  <c r="K82" i="48"/>
  <c r="Q82" i="48" s="1"/>
  <c r="E82" i="48"/>
  <c r="B83" i="33"/>
  <c r="C82" i="33"/>
  <c r="J82" i="33" s="1"/>
  <c r="P82" i="33" s="1"/>
  <c r="K81" i="36"/>
  <c r="E81" i="36"/>
  <c r="C82" i="54" l="1"/>
  <c r="J82" i="54" s="1"/>
  <c r="B83" i="54"/>
  <c r="F79" i="9"/>
  <c r="R82" i="48"/>
  <c r="B82" i="35"/>
  <c r="C81" i="35"/>
  <c r="J81" i="35" s="1"/>
  <c r="B82" i="34"/>
  <c r="C81" i="34"/>
  <c r="J81" i="34" s="1"/>
  <c r="K82" i="37"/>
  <c r="E82" i="37"/>
  <c r="F83" i="32"/>
  <c r="K83" i="32"/>
  <c r="E83" i="32"/>
  <c r="C83" i="32" s="1"/>
  <c r="J83" i="32" s="1"/>
  <c r="B83" i="48"/>
  <c r="C82" i="48"/>
  <c r="J82" i="48" s="1"/>
  <c r="P82" i="48" s="1"/>
  <c r="E79" i="9" s="1"/>
  <c r="D83" i="33"/>
  <c r="I83" i="33"/>
  <c r="O83" i="33" s="1"/>
  <c r="O8" i="33" s="1"/>
  <c r="B82" i="36"/>
  <c r="C81" i="36"/>
  <c r="J81" i="36" s="1"/>
  <c r="I83" i="54" l="1"/>
  <c r="D83" i="54"/>
  <c r="D82" i="35"/>
  <c r="I82" i="35"/>
  <c r="I82" i="34"/>
  <c r="D82" i="34"/>
  <c r="B83" i="37"/>
  <c r="C82" i="37"/>
  <c r="J82" i="37" s="1"/>
  <c r="D83" i="48"/>
  <c r="I83" i="48"/>
  <c r="O83" i="48" s="1"/>
  <c r="I82" i="36"/>
  <c r="D82" i="36"/>
  <c r="K83" i="33"/>
  <c r="Q83" i="33" s="1"/>
  <c r="F83" i="33"/>
  <c r="E83" i="33"/>
  <c r="C83" i="33" s="1"/>
  <c r="J83" i="33" s="1"/>
  <c r="P83" i="33" s="1"/>
  <c r="P8" i="33" s="1"/>
  <c r="E83" i="54" l="1"/>
  <c r="C83" i="54" s="1"/>
  <c r="J83" i="54" s="1"/>
  <c r="K83" i="54"/>
  <c r="S83" i="33"/>
  <c r="T7" i="33" s="1"/>
  <c r="U7" i="33" s="1"/>
  <c r="Q8" i="33"/>
  <c r="R8" i="33" s="1"/>
  <c r="R83" i="33"/>
  <c r="D80" i="9"/>
  <c r="I14" i="9" s="1"/>
  <c r="O8" i="48"/>
  <c r="K82" i="35"/>
  <c r="E82" i="35"/>
  <c r="K82" i="34"/>
  <c r="E82" i="34"/>
  <c r="I83" i="37"/>
  <c r="D83" i="37"/>
  <c r="K83" i="48"/>
  <c r="Q83" i="48" s="1"/>
  <c r="F83" i="48"/>
  <c r="E83" i="48"/>
  <c r="C83" i="48" s="1"/>
  <c r="J83" i="48" s="1"/>
  <c r="P83" i="48" s="1"/>
  <c r="K82" i="36"/>
  <c r="E82" i="36"/>
  <c r="F80" i="9" l="1"/>
  <c r="K14" i="9" s="1"/>
  <c r="S83" i="48"/>
  <c r="Q8" i="48"/>
  <c r="R8" i="48" s="1"/>
  <c r="V16" i="32" s="1"/>
  <c r="R83" i="48"/>
  <c r="E80" i="9"/>
  <c r="J14" i="9" s="1"/>
  <c r="P8" i="48"/>
  <c r="C82" i="35"/>
  <c r="J82" i="35" s="1"/>
  <c r="B83" i="35"/>
  <c r="C82" i="34"/>
  <c r="J82" i="34" s="1"/>
  <c r="B83" i="34"/>
  <c r="K83" i="37"/>
  <c r="F83" i="37"/>
  <c r="E83" i="37"/>
  <c r="C83" i="37" s="1"/>
  <c r="J83" i="37" s="1"/>
  <c r="B83" i="36"/>
  <c r="C82" i="36"/>
  <c r="J82" i="36" s="1"/>
  <c r="T7" i="48" l="1"/>
  <c r="X15" i="32" s="1"/>
  <c r="N13" i="9" s="1"/>
  <c r="S7" i="48"/>
  <c r="W15" i="32" s="1"/>
  <c r="M13" i="9" s="1"/>
  <c r="L29" i="19" s="1"/>
  <c r="L28" i="19" s="1"/>
  <c r="I83" i="35"/>
  <c r="D83" i="35"/>
  <c r="I83" i="34"/>
  <c r="D83" i="34"/>
  <c r="D83" i="36"/>
  <c r="I83" i="36"/>
  <c r="U7" i="48" l="1"/>
  <c r="Y15" i="32" s="1"/>
  <c r="W15" i="19"/>
  <c r="L44" i="19"/>
  <c r="H28" i="20"/>
  <c r="O13" i="9"/>
  <c r="L33" i="19"/>
  <c r="K83" i="35"/>
  <c r="E83" i="35"/>
  <c r="C83" i="35" s="1"/>
  <c r="J83" i="35" s="1"/>
  <c r="F83" i="35"/>
  <c r="E83" i="34"/>
  <c r="C83" i="34" s="1"/>
  <c r="J83" i="34" s="1"/>
  <c r="K83" i="34"/>
  <c r="F83" i="34"/>
  <c r="K83" i="36"/>
  <c r="F83" i="36"/>
  <c r="E83" i="36"/>
  <c r="C83" i="36" s="1"/>
  <c r="J83" i="36" s="1"/>
  <c r="L32" i="19" l="1"/>
  <c r="L41" i="19"/>
  <c r="W17" i="19" l="1"/>
  <c r="W19" i="19" s="1"/>
  <c r="L45" i="19"/>
  <c r="L39" i="19"/>
  <c r="M33" i="19" l="1"/>
  <c r="M27" i="19"/>
  <c r="H10" i="20"/>
  <c r="M28" i="19"/>
  <c r="M41" i="19"/>
  <c r="M32" i="19"/>
  <c r="X17" i="19" s="1"/>
  <c r="M31" i="19"/>
  <c r="L18" i="19"/>
  <c r="P15" i="20" s="1"/>
  <c r="M26" i="19"/>
  <c r="M24" i="19"/>
  <c r="P19" i="20"/>
  <c r="M34" i="19"/>
  <c r="M35" i="19"/>
  <c r="M20" i="19"/>
  <c r="P21" i="20"/>
  <c r="H19" i="20"/>
  <c r="AV26" i="20" s="1"/>
  <c r="H21" i="20"/>
  <c r="AV29" i="20" s="1"/>
  <c r="M25" i="19"/>
  <c r="M38" i="19"/>
  <c r="M23" i="19"/>
  <c r="M37" i="19"/>
  <c r="M36" i="19"/>
  <c r="M22" i="19"/>
  <c r="M29" i="19"/>
  <c r="M21" i="19"/>
  <c r="H6" i="20"/>
  <c r="AV17" i="20" s="1"/>
  <c r="M42" i="19"/>
  <c r="M30" i="19"/>
  <c r="M44" i="19"/>
  <c r="H20" i="20"/>
  <c r="P20" i="20"/>
  <c r="M45" i="19"/>
  <c r="H15" i="20" l="1"/>
  <c r="AV23" i="20" s="1"/>
  <c r="P16" i="20"/>
  <c r="H16" i="20"/>
  <c r="K116" i="4"/>
  <c r="K118" i="4" s="1"/>
  <c r="AV11" i="20"/>
  <c r="R69" i="18"/>
  <c r="L15" i="19"/>
  <c r="Y23" i="20"/>
  <c r="X15" i="19"/>
  <c r="AW14" i="20"/>
  <c r="Y20" i="20"/>
  <c r="M39" i="19"/>
  <c r="X13" i="19"/>
  <c r="X19" i="19" l="1"/>
  <c r="Y18" i="20"/>
  <c r="L19" i="19"/>
  <c r="W9" i="19"/>
  <c r="W11" i="19" s="1"/>
  <c r="M10" i="19" l="1"/>
  <c r="M13" i="19"/>
  <c r="M16" i="19"/>
  <c r="Y16" i="20"/>
  <c r="M8" i="19"/>
  <c r="M15" i="19"/>
  <c r="M7" i="19"/>
  <c r="M11" i="19"/>
  <c r="L47" i="19"/>
  <c r="M9" i="19"/>
  <c r="H8" i="20"/>
  <c r="AV20" i="20" s="1"/>
  <c r="M18" i="19"/>
  <c r="AW11" i="20" s="1"/>
  <c r="M17" i="19"/>
  <c r="M12" i="19"/>
  <c r="M14" i="19"/>
  <c r="P14" i="20"/>
  <c r="H14" i="20"/>
  <c r="X9" i="19" l="1"/>
  <c r="Y11" i="20"/>
  <c r="Y8" i="20"/>
  <c r="X7" i="19"/>
  <c r="M19" i="19"/>
  <c r="X11" i="19" l="1"/>
  <c r="Y14" i="20"/>
</calcChain>
</file>

<file path=xl/comments1.xml><?xml version="1.0" encoding="utf-8"?>
<comments xmlns="http://schemas.openxmlformats.org/spreadsheetml/2006/main">
  <authors>
    <author>senta</author>
    <author>M Vicenta Perez Silvestre</author>
    <author>Maria Vicenta Perez</author>
    <author>SENTA</author>
  </authors>
  <commentList>
    <comment ref="B9" authorId="0" shapeId="0">
      <text>
        <r>
          <rPr>
            <sz val="10"/>
            <color indexed="81"/>
            <rFont val="Tahoma"/>
            <family val="2"/>
          </rPr>
          <t>Debe escribir un mes que corresponda a inicio de trimestre.</t>
        </r>
      </text>
    </comment>
    <comment ref="B15" authorId="1" shapeId="0">
      <text>
        <r>
          <rPr>
            <sz val="9"/>
            <color indexed="81"/>
            <rFont val="Tahoma"/>
            <family val="2"/>
          </rPr>
          <t>Impuesto sobre Beneficios</t>
        </r>
      </text>
    </comment>
    <comment ref="B22" authorId="1" shapeId="0">
      <text>
        <r>
          <rPr>
            <sz val="10"/>
            <color indexed="81"/>
            <rFont val="Arial"/>
            <family val="2"/>
          </rPr>
          <t>Agruparlo por:
- Productos y/o servicios a ofrecer,
- Gamas de produtos y/o servicios,
- Tipología de ingresos</t>
        </r>
      </text>
    </comment>
    <comment ref="C22" authorId="2" shapeId="0">
      <text>
        <r>
          <rPr>
            <sz val="9"/>
            <color indexed="81"/>
            <rFont val="Tahoma"/>
            <family val="2"/>
          </rPr>
          <t>Indicar cúal es la unidad de medida que se toma como referencia para determinar el Precio de Venta y Precio de Coste Directo de cada linea de productos/servicios a vender.
Por ejemplo:
. Como unidad física se puede tomar: la unidad, la hora, el litro, el kg,...
. Como unidad monetaria se puede tomar: el euro, la libra, el dóllar, el yen, el yuan,..</t>
        </r>
      </text>
    </comment>
    <comment ref="F22" authorId="2" shapeId="0">
      <text>
        <r>
          <rPr>
            <sz val="10"/>
            <color indexed="81"/>
            <rFont val="Tahoma"/>
            <family val="2"/>
          </rPr>
          <t>Si el porcentaje de IVA Repercutido (el que afecta al Precio de Venta) no es el preestablecido, puede modificarlo.
Si está exento de IVA, escribir 0.</t>
        </r>
      </text>
    </comment>
    <comment ref="H22" authorId="1" shapeId="0">
      <text>
        <r>
          <rPr>
            <sz val="10"/>
            <color indexed="81"/>
            <rFont val="Calibri"/>
            <family val="2"/>
          </rPr>
          <t>Se refiere al Coste Directo en el sentido Variable. Es decir, si vendemos lo soportamos si no no.</t>
        </r>
      </text>
    </comment>
    <comment ref="I22" authorId="2" shapeId="0">
      <text>
        <r>
          <rPr>
            <sz val="10"/>
            <color indexed="81"/>
            <rFont val="Tahoma"/>
            <family val="2"/>
          </rPr>
          <t>Si el porcentaje de IVA Soportado (el que afecta al Precio de Coste) no es el preestablecido, puede modificarlo.
Si está exento de IVA, escribor 0.</t>
        </r>
      </text>
    </comment>
    <comment ref="K22" authorId="1" shapeId="0">
      <text>
        <r>
          <rPr>
            <sz val="10"/>
            <color indexed="81"/>
            <rFont val="Calibri"/>
            <family val="2"/>
          </rPr>
          <t>Diferencia entre el Precio de Venta y el Costes Directo (Variable)</t>
        </r>
      </text>
    </comment>
    <comment ref="E38" authorId="3" shapeId="0">
      <text>
        <r>
          <rPr>
            <sz val="9"/>
            <color indexed="81"/>
            <rFont val="Tahoma"/>
            <family val="2"/>
          </rPr>
          <t>A trasladar a la celda correspondiente de la columna H</t>
        </r>
      </text>
    </comment>
    <comment ref="E45" authorId="3" shapeId="0">
      <text>
        <r>
          <rPr>
            <sz val="9"/>
            <color indexed="81"/>
            <rFont val="Tahoma"/>
            <family val="2"/>
          </rPr>
          <t>A trasladar a la celda correspondiente de la columna E</t>
        </r>
      </text>
    </comment>
  </commentList>
</comments>
</file>

<file path=xl/comments10.xml><?xml version="1.0" encoding="utf-8"?>
<comments xmlns="http://schemas.openxmlformats.org/spreadsheetml/2006/main">
  <authors>
    <author>Maria Vicenta Perez</author>
  </authors>
  <commentList>
    <comment ref="C7" authorId="0" shapeId="0">
      <text>
        <r>
          <rPr>
            <sz val="11"/>
            <color indexed="81"/>
            <rFont val="Tahoma"/>
            <family val="2"/>
          </rPr>
          <t>Si los Años de Amortización predeterminados en las celdas de esta columna no coinciden con los que haya previsto (en Creación de Nueva Empresa) o con los previstos y/o reales (en Consolidación - Empresas en Funcionamiento), debe situarse en la celda del Bien y/o Derecho en cuestión y modificarlo/s.</t>
        </r>
      </text>
    </comment>
    <comment ref="D7" authorId="0" shapeId="0">
      <text>
        <r>
          <rPr>
            <sz val="11"/>
            <color indexed="81"/>
            <rFont val="Tahoma"/>
            <family val="2"/>
          </rPr>
          <t>Equivale al Porcentaje Anual de Amortización a aplicar según los Años de Amortización que se hayan indicado en las celdas de la columna anterior.
(Se calcula dividiendo 100 entre los Años de Amortización).</t>
        </r>
      </text>
    </comment>
    <comment ref="G7" authorId="0" shapeId="0">
      <text>
        <r>
          <rPr>
            <sz val="11"/>
            <color indexed="81"/>
            <rFont val="Tahoma"/>
            <family val="2"/>
          </rPr>
          <t>Los datos que aparecen en esta columna, indican el número de años que faltan por amortizar, contablemente, los Bienes y Derechos reflejados en la hoja "1. Activos Partida".</t>
        </r>
      </text>
    </comment>
    <comment ref="I7" authorId="0" shapeId="0">
      <text>
        <r>
          <rPr>
            <sz val="11"/>
            <color indexed="81"/>
            <rFont val="Tahoma"/>
            <family val="2"/>
          </rPr>
          <t>Los importes que aparecen en estas celdas, se obtienen al aplicar el porcentaje de Tasa de Amortización sobre la suma de los importes de Activos de Partida (columna B, hoja 3), e importes de Inversiones Nuevas realizadas en el primer ejercicio económico (celdas de la columna B, hoja 5).</t>
        </r>
      </text>
    </comment>
    <comment ref="K7" authorId="0" shapeId="0">
      <text>
        <r>
          <rPr>
            <sz val="11"/>
            <color indexed="81"/>
            <rFont val="Tahoma"/>
            <family val="2"/>
          </rPr>
          <t>Los importes que aparecen en estas celdas, se obtienen al aplicar el porcentaje de Tasa de Amortización sobre la suma de los importes de Activos de Partida (columna B, hoja 3), e importes de Inversiones Nuevas realizadas en el primer y segundo ejercicios (celdas de las columnas B y D, hoja 5).</t>
        </r>
      </text>
    </comment>
    <comment ref="M7" authorId="0" shapeId="0">
      <text>
        <r>
          <rPr>
            <sz val="11"/>
            <color indexed="81"/>
            <rFont val="Tahoma"/>
            <family val="2"/>
          </rPr>
          <t>Los importes que aparecen en estas celdas, se obtienen al aplicar el porcentaje de Tasa de Amortización sobre la suma de los importes de Activos de Partida (columna B), e importes de Inversiones Nuevas realizadas en el primer, segundo y tercer ejercicios (celdas de las columnas B, D y F, hoja 4).</t>
        </r>
      </text>
    </comment>
    <comment ref="O7" authorId="0" shapeId="0">
      <text>
        <r>
          <rPr>
            <sz val="11"/>
            <color indexed="81"/>
            <rFont val="Tahoma"/>
            <family val="2"/>
          </rPr>
          <t>Los importes que aparecen en estas celdas, se obtienen al aplicar el porcentaje de Tasa de Amortización sobre la suma de los importes de Activos de Partida (columna B, hoja 3), e importes de Inversiones Nuevas realizadas en el primer, segundo, tercer y cuarto ejercicios (celdas de las columnas B, D, F y H, hoja 5).</t>
        </r>
      </text>
    </comment>
    <comment ref="Q7" authorId="0" shapeId="0">
      <text>
        <r>
          <rPr>
            <sz val="11"/>
            <color indexed="81"/>
            <rFont val="Tahoma"/>
            <family val="2"/>
          </rPr>
          <t>Los importes que aparecen en estas celdas, se obtienen al aplicar el porcentaje de Tasa de Amortización sobre la suma de los importes de Activos de Partida (columna B, hoja 3), e importes de Inversiones Nuevas realizadas en el primer, segundo, tercer, cuarto y quinto ejercicios (celdas de las columnas B, D, F, H e I, hoja 5).</t>
        </r>
      </text>
    </comment>
  </commentList>
</comments>
</file>

<file path=xl/comments11.xml><?xml version="1.0" encoding="utf-8"?>
<comments xmlns="http://schemas.openxmlformats.org/spreadsheetml/2006/main">
  <authors>
    <author>Maria Vicenta Perez</author>
    <author>senta</author>
  </authors>
  <commentList>
    <comment ref="D8" authorId="0" shapeId="0">
      <text>
        <r>
          <rPr>
            <sz val="10"/>
            <color indexed="81"/>
            <rFont val="Tahoma"/>
            <family val="2"/>
          </rPr>
          <t>Importe a pagar, periódicamente. Compuesto por la suma de Intereses y Devolución del Capital.</t>
        </r>
      </text>
    </comment>
    <comment ref="E8" authorId="0" shapeId="0">
      <text>
        <r>
          <rPr>
            <sz val="10"/>
            <color indexed="81"/>
            <rFont val="Tahoma"/>
            <family val="2"/>
          </rPr>
          <t>Tipo de Interés a pagar a la entidad financiera, por el servicio de prestar dinero. (Gasto Financiero)</t>
        </r>
      </text>
    </comment>
    <comment ref="F8" authorId="0" shapeId="0">
      <text>
        <r>
          <rPr>
            <sz val="10"/>
            <color indexed="81"/>
            <rFont val="Tahoma"/>
            <family val="2"/>
          </rPr>
          <t>Importe a pagar a la entidad financiera, por la parte del Capital devuelto.</t>
        </r>
      </text>
    </comment>
    <comment ref="L8" authorId="0" shapeId="0">
      <text>
        <r>
          <rPr>
            <sz val="10"/>
            <color indexed="81"/>
            <rFont val="Tahoma"/>
            <family val="2"/>
          </rPr>
          <t>Parte del Capital pendiente a devolver a la entidad financiera al final del ejercicio económico en cuestión.</t>
        </r>
        <r>
          <rPr>
            <sz val="9"/>
            <color indexed="81"/>
            <rFont val="Tahoma"/>
            <family val="2"/>
          </rPr>
          <t xml:space="preserve">
</t>
        </r>
      </text>
    </comment>
    <comment ref="H18" authorId="0" shapeId="0">
      <text>
        <r>
          <rPr>
            <sz val="10"/>
            <color indexed="81"/>
            <rFont val="Tahoma"/>
            <family val="2"/>
          </rPr>
          <t>Si el % predeterminado no es el adecuado, lo podéis cambiar.
- Sólo debéis modificar el de la celda del año en el que aparezca el importe de Capital al que le afecte (celdas fila 17) -.</t>
        </r>
      </text>
    </comment>
    <comment ref="H19" authorId="0" shapeId="0">
      <text>
        <r>
          <rPr>
            <sz val="10"/>
            <color indexed="81"/>
            <rFont val="Tahoma"/>
            <family val="2"/>
          </rPr>
          <t>Si el Nº de años predeterminado, que restan por amortizar el Préstamo, no es el correcto, lo podéis cambiar.
- Sólo debéis modificar el de la celda del año en que aparezca el importe de Capital al que le afecte (celdas fila 17) -.</t>
        </r>
      </text>
    </comment>
    <comment ref="H20" authorId="0" shapeId="0">
      <text>
        <r>
          <rPr>
            <sz val="10"/>
            <color indexed="81"/>
            <rFont val="Tahoma"/>
            <family val="2"/>
          </rPr>
          <t>Se ha considerado que el Nº de Pagos por Año va a ser trimestral, por eso aparece reflejado el Nº 4 (4 veces al año).</t>
        </r>
      </text>
    </comment>
    <comment ref="H21" authorId="1" shapeId="0">
      <text>
        <r>
          <rPr>
            <sz val="10"/>
            <color indexed="81"/>
            <rFont val="Tahoma"/>
            <family val="2"/>
          </rPr>
          <t>La duración total de la carencia está en relación directa con el Nº de Pagos por Año (I20 a L20).
Ejemplo: 
. Sobre 12 pagos Anuales, una carencia de dos años se expresará escribiendo 24; o una carecia de un año: escribiendo 12;o una carencia de 6 meses: escribiendo 6.
. Sobre 4 pagos Anuales, una carencia de dos años, se expresará escribiendo 8 (4 pagos al año x 2 años); o una carencia de un año,seexpresará escribiendo 4 (4 pagos x 1 año).
- Sólo debéis reflejar los periodos de carencia en la celda de la columna del año en el que aparezca el importe de Capital al que le afecte (celdas fila 17) -.</t>
        </r>
      </text>
    </comment>
  </commentList>
</comments>
</file>

<file path=xl/comments12.xml><?xml version="1.0" encoding="utf-8"?>
<comments xmlns="http://schemas.openxmlformats.org/spreadsheetml/2006/main">
  <authors>
    <author>Maria Vicenta Perez</author>
    <author>senta</author>
  </authors>
  <commentList>
    <comment ref="D8" authorId="0" shapeId="0">
      <text>
        <r>
          <rPr>
            <sz val="10"/>
            <color indexed="81"/>
            <rFont val="Tahoma"/>
            <family val="2"/>
          </rPr>
          <t>Importe a pagar, periódicamente. Compuesto por la suma de Intereses y Devolución del Capital.</t>
        </r>
      </text>
    </comment>
    <comment ref="E8" authorId="0" shapeId="0">
      <text>
        <r>
          <rPr>
            <sz val="10"/>
            <color indexed="81"/>
            <rFont val="Tahoma"/>
            <family val="2"/>
          </rPr>
          <t>Tipo de Interés a pagar a la entidad financiera, por el servicio de prestar dinero. (Gasto Financiero)</t>
        </r>
      </text>
    </comment>
    <comment ref="F8" authorId="0" shapeId="0">
      <text>
        <r>
          <rPr>
            <sz val="10"/>
            <color indexed="81"/>
            <rFont val="Tahoma"/>
            <family val="2"/>
          </rPr>
          <t>Importe a pagar a la entidad financiera, por la parte del Capital devuelto.</t>
        </r>
      </text>
    </comment>
    <comment ref="L8" authorId="0" shapeId="0">
      <text>
        <r>
          <rPr>
            <sz val="10"/>
            <color indexed="81"/>
            <rFont val="Tahoma"/>
            <family val="2"/>
          </rPr>
          <t>Parte del Capital pendiente a devolver a la entidad financiera a final de cada ejercicio económico.</t>
        </r>
        <r>
          <rPr>
            <sz val="9"/>
            <color indexed="81"/>
            <rFont val="Tahoma"/>
            <family val="2"/>
          </rPr>
          <t xml:space="preserve">
</t>
        </r>
      </text>
    </comment>
    <comment ref="H18" authorId="0" shapeId="0">
      <text>
        <r>
          <rPr>
            <sz val="10"/>
            <color indexed="81"/>
            <rFont val="Tahoma"/>
            <family val="2"/>
          </rPr>
          <t>Si el % predeterminado no es el adecuado, lo podéis cambiar.
- Sólo debéis modificar el de la celda del año en el que aparezca el importe de Capital al que le afecte (celdas fila 17) -.</t>
        </r>
      </text>
    </comment>
    <comment ref="H19" authorId="0" shapeId="0">
      <text>
        <r>
          <rPr>
            <sz val="10"/>
            <color indexed="81"/>
            <rFont val="Tahoma"/>
            <family val="2"/>
          </rPr>
          <t>Si el Nº de años predeterminado, que restan por amortizar el Préstamo, no es el correcto, lo podéis cambiar.
- Sólo debéis modificar el de la celda del año en que aparezca el importe de Capital al que le afecte (celdas fila 17) -.</t>
        </r>
      </text>
    </comment>
    <comment ref="H20" authorId="0" shapeId="0">
      <text>
        <r>
          <rPr>
            <sz val="10"/>
            <color indexed="81"/>
            <rFont val="Tahoma"/>
            <family val="2"/>
          </rPr>
          <t>Si el Nº Pagos por Año predeterminado no es el correcto, lo podéis cambiar, aunque sólo a 1, 2, 3, 4 ó 6 pagos anuales.
- Sólo debéis modificar el de la celda del año en que aparezca el importe de Capital al que le afecte (celdas fila 17) -.</t>
        </r>
      </text>
    </comment>
    <comment ref="H21" authorId="1" shapeId="0">
      <text>
        <r>
          <rPr>
            <sz val="10"/>
            <color indexed="81"/>
            <rFont val="Tahoma"/>
            <family val="2"/>
          </rPr>
          <t>La duración total de la carencia está en relación directa con el Nº de Pagos por Año (I20 a N20).
Ejemplo: 
. Sobre 12 pagos Anuales, una carencia de dos años se expresará escribiendo 24; o una carecia de un año: escribiendo 12;o una carencia de 6 meses: escribiendo 6.
. Sobre 4 pagos Anuales, una carencia de dos años, se expresará escribiendo 8 (4 pagos al año x 2 años); o una carencia de un año,seexpresará escribiendo 4 (4 pagos x 1 año).
- Sólo debéis reflejar los periodos de carencia en la celda de la columna del año en el que aparezca el importe de Capital al que le afecte (celdas fila 17) -.</t>
        </r>
      </text>
    </comment>
  </commentList>
</comments>
</file>

<file path=xl/comments13.xml><?xml version="1.0" encoding="utf-8"?>
<comments xmlns="http://schemas.openxmlformats.org/spreadsheetml/2006/main">
  <authors>
    <author>Maria Vicenta Perez</author>
  </authors>
  <commentList>
    <comment ref="D8" authorId="0" shapeId="0">
      <text>
        <r>
          <rPr>
            <sz val="10"/>
            <color indexed="81"/>
            <rFont val="Tahoma"/>
            <family val="2"/>
          </rPr>
          <t>Importe a pagar, periódicamente. Compuesto por la suma de lo equivalente a la Carga Financiera y a la Recuperación Coste.</t>
        </r>
      </text>
    </comment>
    <comment ref="L8" authorId="0" shapeId="0">
      <text>
        <r>
          <rPr>
            <sz val="10"/>
            <color indexed="81"/>
            <rFont val="Tahoma"/>
            <family val="2"/>
          </rPr>
          <t>Parte del Coste del bien, pendiente a pagar a la entidad arrendadora al final de cada ejercicio económico.</t>
        </r>
        <r>
          <rPr>
            <sz val="9"/>
            <color indexed="81"/>
            <rFont val="Tahoma"/>
            <family val="2"/>
          </rPr>
          <t xml:space="preserve">
</t>
        </r>
      </text>
    </comment>
    <comment ref="H18" authorId="0" shapeId="0">
      <text>
        <r>
          <rPr>
            <sz val="10"/>
            <color indexed="81"/>
            <rFont val="Tahoma"/>
            <family val="2"/>
          </rPr>
          <t>Si el % predeterminado no es el adecuado, lo podéis cambiar.
- Sólo debéis modificar el de la celda del año en el que aparezca el importe de Capital al que le afecte -.</t>
        </r>
      </text>
    </comment>
    <comment ref="Q18" authorId="0" shapeId="0">
      <text>
        <r>
          <rPr>
            <sz val="10"/>
            <color indexed="81"/>
            <rFont val="Tahoma"/>
            <family val="2"/>
          </rPr>
          <t>Si el % predeterminado no es el adecuado, lo podéis cambiar.
- Sólo debéis modificar el de la celda del año en el que aparezca el importe de Capital al que le afecte -.</t>
        </r>
      </text>
    </comment>
    <comment ref="H19" authorId="0" shapeId="0">
      <text>
        <r>
          <rPr>
            <sz val="10"/>
            <color indexed="81"/>
            <rFont val="Tahoma"/>
            <family val="2"/>
          </rPr>
          <t>Si el Nº de Años predeterminado, que restan por amortizar el Leasing, no es el correcto, lo podéis cambiar.
- Sólo debéis modificar el de la celda del año en el que aparezca el importe de Capital al que le afecte  -.</t>
        </r>
      </text>
    </comment>
    <comment ref="Q19" authorId="0" shapeId="0">
      <text>
        <r>
          <rPr>
            <sz val="10"/>
            <color indexed="81"/>
            <rFont val="Tahoma"/>
            <family val="2"/>
          </rPr>
          <t>Si el Nº de Años predeterminado, que restan por amortizar el Leasing, no es el correcto, lo podéis cambiar.
- Sólo debéis modificar el de la celda del año en el que aparezca el importe de Capital al que le afecte  -.</t>
        </r>
      </text>
    </comment>
    <comment ref="H20" authorId="0" shapeId="0">
      <text>
        <r>
          <rPr>
            <sz val="10"/>
            <color indexed="81"/>
            <rFont val="Tahoma"/>
            <family val="2"/>
          </rPr>
          <t>Si el Nº Pagos por Año predeterminado no es el correcto, lo podéis cambiar, aunque sólo a 1, 2, 3, 4 ó 6 pagos anuales.
- Sólo debéis modificar el de la celda del año en que aparezca el importe de Capital al que le afecte  -.</t>
        </r>
      </text>
    </comment>
    <comment ref="Q20" authorId="0" shapeId="0">
      <text>
        <r>
          <rPr>
            <sz val="10"/>
            <color indexed="81"/>
            <rFont val="Tahoma"/>
            <family val="2"/>
          </rPr>
          <t>Si el Nº Pagos por Año predeterminado no es el correcto, lo podéis cambiar, aunque sólo a 1, 2, 3, 4 ó 6 pagos anuales.
- Sólo debéis modificar el de la celda del año en que aparezca el importe de Capital al que le afecte  -.</t>
        </r>
      </text>
    </comment>
  </commentList>
</comments>
</file>

<file path=xl/comments14.xml><?xml version="1.0" encoding="utf-8"?>
<comments xmlns="http://schemas.openxmlformats.org/spreadsheetml/2006/main">
  <authors>
    <author>Manuel Núñez Bonilla</author>
    <author>senta</author>
    <author>M Vicenta Perez Silvestre</author>
    <author>Maria Vicenta Perez</author>
  </authors>
  <commentList>
    <comment ref="H9" authorId="0" shapeId="0">
      <text>
        <r>
          <rPr>
            <sz val="10"/>
            <color indexed="81"/>
            <rFont val="Tahoma"/>
            <family val="2"/>
          </rPr>
          <t xml:space="preserve">
Nos advierte que en la hoja "Plan Invers-Financ" se han reflejado  Inversiones a realizar a lo largo del 1º ejercicio económico cuya Forma de Financiación es a través de Tesorería.
Para que se haga efectiva la salida de Tesorería, en esta hoja "Tesorería (Ejerc. 1º,2º)", </t>
        </r>
        <r>
          <rPr>
            <b/>
            <sz val="10"/>
            <color indexed="81"/>
            <rFont val="Tahoma"/>
            <family val="2"/>
          </rPr>
          <t>debe reflejarse dicho importe en las celdas de la fila 45.</t>
        </r>
      </text>
    </comment>
    <comment ref="N9" authorId="0" shapeId="0">
      <text>
        <r>
          <rPr>
            <sz val="10"/>
            <color indexed="81"/>
            <rFont val="Tahoma"/>
            <family val="2"/>
          </rPr>
          <t xml:space="preserve">
Nos advierte que, en la hoja "Plan Invers-Financ" , se han señalados  entradas de Tesorería que se van a producir a lo largo de este 1º ejercicio económico, por desembolsos correspondientes a Ampliaciones de Capital (A), a Crowdfunding de Donación y Otras Subvenciones, Donaciones y Legados (S) y Préstamos de Socios, Familiares y Amigos (PS)
Para que dichas entradas en Tesorería se hagan efectivas, </t>
        </r>
        <r>
          <rPr>
            <b/>
            <sz val="10"/>
            <color indexed="81"/>
            <rFont val="Tahoma"/>
            <family val="2"/>
          </rPr>
          <t>deben reflejarse los importes</t>
        </r>
        <r>
          <rPr>
            <sz val="10"/>
            <color indexed="81"/>
            <rFont val="Tahoma"/>
            <family val="2"/>
          </rPr>
          <t xml:space="preserve"> referentes a las mismas </t>
        </r>
        <r>
          <rPr>
            <b/>
            <sz val="10"/>
            <color indexed="81"/>
            <rFont val="Tahoma"/>
            <family val="2"/>
          </rPr>
          <t>en los meses que corresponda (celdas de la fila 16).</t>
        </r>
      </text>
    </comment>
    <comment ref="Y9" authorId="0" shapeId="0">
      <text>
        <r>
          <rPr>
            <sz val="10"/>
            <color indexed="81"/>
            <rFont val="Tahoma"/>
            <family val="2"/>
          </rPr>
          <t xml:space="preserve">
Nos advierte que en la hoja "Plan Invers-Financ" se han reflejado  Inversiones a realizar a lo largo del 2º ejercicio económico cuya Forma de Financiación es a través de Tesorería.
Para que se haga efectiva la salida de Tesorería, en esta hoja "Tesorería (Ejerc. 1º,2º)", </t>
        </r>
        <r>
          <rPr>
            <b/>
            <sz val="10"/>
            <color indexed="81"/>
            <rFont val="Tahoma"/>
            <family val="2"/>
          </rPr>
          <t>debe reflejarse dicho importe en las celdas de la fila 45</t>
        </r>
        <r>
          <rPr>
            <sz val="10"/>
            <color indexed="81"/>
            <rFont val="Tahoma"/>
            <family val="2"/>
          </rPr>
          <t>.</t>
        </r>
      </text>
    </comment>
    <comment ref="AE9" authorId="0" shapeId="0">
      <text>
        <r>
          <rPr>
            <sz val="10"/>
            <color indexed="81"/>
            <rFont val="Tahoma"/>
            <family val="2"/>
          </rPr>
          <t xml:space="preserve">
Nos advierte que, en la hoja "Plan Invers-Financ" , se han señalados  entradas de Tesorería que se van a producir a lo largo de este 2º ejercicio económico, por desembolsos correspondientes a Ampliaciones de Capital (A), a Crowdfunding de Donación y Otras Subvenciones, Donaciones y Legados (S) y Préstamos de Socios, Familiares y Amigos (PS)
Para que dichas entradas en Tesorería se hagan efectivas, </t>
        </r>
        <r>
          <rPr>
            <b/>
            <sz val="10"/>
            <color indexed="81"/>
            <rFont val="Tahoma"/>
            <family val="2"/>
          </rPr>
          <t>deben reflejarse los importes</t>
        </r>
        <r>
          <rPr>
            <sz val="10"/>
            <color indexed="81"/>
            <rFont val="Tahoma"/>
            <family val="2"/>
          </rPr>
          <t xml:space="preserve"> referentes a las mismas </t>
        </r>
        <r>
          <rPr>
            <b/>
            <sz val="10"/>
            <color indexed="81"/>
            <rFont val="Tahoma"/>
            <family val="2"/>
          </rPr>
          <t>en los meses que corresponda (celdas de la fila 16).</t>
        </r>
      </text>
    </comment>
    <comment ref="A13" authorId="0" shapeId="0">
      <text>
        <r>
          <rPr>
            <sz val="11"/>
            <color indexed="81"/>
            <rFont val="Tahoma"/>
            <family val="2"/>
          </rPr>
          <t>El IVA se cobra junto con el importe de las facturas y con las mismas condiciones.</t>
        </r>
      </text>
    </comment>
    <comment ref="A16" authorId="0" shapeId="0">
      <text>
        <r>
          <rPr>
            <sz val="10"/>
            <color indexed="81"/>
            <rFont val="Tahoma"/>
            <family val="2"/>
          </rPr>
          <t>Tal como indica el comentario de la celda M9 de esta hoja, las entradas de Tesorería que se produzcan por Ampliaciones de Capital, Crowdfundinf de Donación y Subvenciones, Donaciones y Legados, así como por los Préstamos de Socios, Familiares y Amigos, deben reflejarse en esta fila en las celdas de los meses en los que se prevea.</t>
        </r>
      </text>
    </comment>
    <comment ref="A19" authorId="0" shapeId="0">
      <text>
        <r>
          <rPr>
            <sz val="11"/>
            <color indexed="81"/>
            <rFont val="Tahoma"/>
            <family val="2"/>
          </rPr>
          <t>El IVA se paga junto con el importe de las facturas y con las mismas condiciones.</t>
        </r>
      </text>
    </comment>
    <comment ref="A21" authorId="1" shapeId="0">
      <text>
        <r>
          <rPr>
            <sz val="11"/>
            <color indexed="81"/>
            <rFont val="Tahoma"/>
            <family val="2"/>
          </rPr>
          <t>Si durante algún/os mes/es, de este 1º y siguiente ejercicio económico, la empresa deja de pagar todo, o parte, de los Sueldos y Salarios de los socios, deberá situarse en la/s celda/s del/os mes/es que corresponda y modificar dicho/s importe/s (bien multiplicando la fórmula por cero o restando una cantidad inferior al importe mensual).</t>
        </r>
      </text>
    </comment>
    <comment ref="P23" authorId="2" shapeId="0">
      <text>
        <r>
          <rPr>
            <b/>
            <sz val="9"/>
            <color indexed="81"/>
            <rFont val="Tahoma"/>
            <family val="2"/>
          </rPr>
          <t>Sueldos y Salarios Pdtes de Pago</t>
        </r>
      </text>
    </comment>
    <comment ref="A43" authorId="1" shapeId="0">
      <text>
        <r>
          <rPr>
            <sz val="11"/>
            <color indexed="81"/>
            <rFont val="Tahoma"/>
            <family val="2"/>
          </rPr>
          <t xml:space="preserve">
</t>
        </r>
        <r>
          <rPr>
            <sz val="10"/>
            <color indexed="81"/>
            <rFont val="Tahoma"/>
            <family val="2"/>
          </rPr>
          <t>En las celdas de esta fila 39, deben reflejarse las salidas de Tesorería (si se producen en este 1º y siguiente ejercicio económico) destinadas a la devolución del importe de la deuda con Socios, Familiares y Amigos</t>
        </r>
      </text>
    </comment>
    <comment ref="A44" authorId="1" shapeId="0">
      <text>
        <r>
          <rPr>
            <sz val="11"/>
            <color indexed="81"/>
            <rFont val="Tahoma"/>
            <family val="2"/>
          </rPr>
          <t xml:space="preserve">
</t>
        </r>
        <r>
          <rPr>
            <sz val="10"/>
            <color indexed="81"/>
            <rFont val="Tahoma"/>
            <family val="2"/>
          </rPr>
          <t>En las celdas de esta fila 40, deben reflejarse las salidas de Tesorería (si se producen en el 1º y 2º ejercicio económico) destinadas a la devolución del importe de los Préstamos que Socios y Administradores han concedidos a la empresa, y cuyo montante ha sido reflejado en la celda B26 de la hoja oculta "(0) 1b. Pasivos de Partida".</t>
        </r>
      </text>
    </comment>
    <comment ref="A45" authorId="0" shapeId="0">
      <text>
        <r>
          <rPr>
            <sz val="10"/>
            <color indexed="81"/>
            <rFont val="Tahoma"/>
            <family val="2"/>
          </rPr>
          <t xml:space="preserve">
Tal como indica el comentario de la celda G9 de esta hoja, en las celdas de esta fila  deben reflejarse las salidas de Tesorería por las Inversiones realizadas a lo largo del 1º y 2º ejercicios económicos (determinadas en  la hoja "Plan Invers-Financ" y cuya Forma de Financiación es la propia Tesorería de la empresa.
</t>
        </r>
      </text>
    </comment>
    <comment ref="A46" authorId="1" shapeId="0">
      <text>
        <r>
          <rPr>
            <sz val="10"/>
            <color indexed="81"/>
            <rFont val="Tahoma"/>
            <family val="2"/>
          </rPr>
          <t xml:space="preserve">Los importes de las celdas de esta fila, hacen referencia a:
- Resultados por Otros Ingresos y Gastos Excepcionales (reflejados en las filas 38 de la hoja "P y G (Ej. 1º,2º)". 
(Los Ingresos quedarán reflejados con signo negativo y los Gastos sin signo), y
- El Reparto de Beneficios </t>
        </r>
      </text>
    </comment>
    <comment ref="A49" authorId="0" shapeId="0">
      <text>
        <r>
          <rPr>
            <sz val="11"/>
            <color indexed="81"/>
            <rFont val="Tahoma"/>
            <family val="2"/>
          </rPr>
          <t>El IVA se liquida de acuerdo a la fecha de emisión de la factura, no cuando se cobra o paga ésta.</t>
        </r>
        <r>
          <rPr>
            <sz val="10"/>
            <color indexed="81"/>
            <rFont val="Tahoma"/>
            <family val="2"/>
          </rPr>
          <t xml:space="preserve">
</t>
        </r>
      </text>
    </comment>
    <comment ref="A51" authorId="2" shapeId="0">
      <text>
        <r>
          <rPr>
            <sz val="11"/>
            <color indexed="81"/>
            <rFont val="Tahoma"/>
            <family val="2"/>
          </rPr>
          <t>Tesorería del Peridodo (2)-(3)-(4)-(5) = Burn Rate Mensual</t>
        </r>
      </text>
    </comment>
    <comment ref="A52" authorId="2" shapeId="0">
      <text>
        <r>
          <rPr>
            <sz val="10"/>
            <color indexed="81"/>
            <rFont val="Tahoma"/>
            <family val="2"/>
          </rPr>
          <t>Si alguno/s importe/s de las celdas de esta fila salen en rojo, quiere decir que ese mes hay problemas de Tesorería.
En este caso habrá que aplicar medidas para solucionarlo, como por ejemplo, prescindir del pago de alguno de los gastos prescindibles (como por ejemplo: salario de los emprendedores, alquiler local propio, etc)</t>
        </r>
      </text>
    </comment>
    <comment ref="A54" authorId="2" shapeId="0">
      <text>
        <r>
          <rPr>
            <sz val="11"/>
            <color indexed="81"/>
            <rFont val="Tahoma"/>
            <family val="2"/>
          </rPr>
          <t>Nos informa de cuantos meses nos quedaría Disponible si el mismo se consumiese a este ritmo.
Si no aparece número, no hay problema.</t>
        </r>
      </text>
    </comment>
    <comment ref="I59" authorId="3" shapeId="0">
      <text>
        <r>
          <rPr>
            <sz val="10"/>
            <color indexed="81"/>
            <rFont val="Tahoma"/>
            <family val="2"/>
          </rPr>
          <t>% Anual.
- Este porcentaje predeterminado, puede modificarlo -.</t>
        </r>
      </text>
    </comment>
    <comment ref="V59" authorId="1" shapeId="0">
      <text>
        <r>
          <rPr>
            <sz val="11"/>
            <color indexed="81"/>
            <rFont val="Tahoma"/>
            <family val="2"/>
          </rPr>
          <t>Saldo de Acreedores a CP - Financieros, límite a esta fecha.</t>
        </r>
      </text>
    </comment>
    <comment ref="Z59" authorId="3" shapeId="0">
      <text>
        <r>
          <rPr>
            <sz val="10"/>
            <color indexed="81"/>
            <rFont val="Tahoma"/>
            <family val="2"/>
          </rPr>
          <t>% Anual.
- Este porcentaje predeterminado, puede modificarlo -.</t>
        </r>
      </text>
    </comment>
    <comment ref="E60" authorId="1" shapeId="0">
      <text>
        <r>
          <rPr>
            <sz val="11"/>
            <color indexed="81"/>
            <rFont val="Tahoma"/>
            <family val="2"/>
          </rPr>
          <t xml:space="preserve">
Insertar el Límite del Crédito concedido por la entidad financiera, para poder hacer disposición del mismo según necesidad (cuando en la fila 49 aparezcan saldo/s negativo/s), hasta el límite, y poder ir reembolsándolo según la capacidad de tesorería que tenga la empresa (cuando en la fila 49 aparezca saldo/s positivo/s)</t>
        </r>
      </text>
    </comment>
    <comment ref="I60" authorId="1" shapeId="0">
      <text>
        <r>
          <rPr>
            <sz val="10"/>
            <color indexed="81"/>
            <rFont val="Tahoma"/>
            <family val="2"/>
          </rPr>
          <t>% Trimestral
- Este porcentaje predeterminado, puede modificarlo -.</t>
        </r>
      </text>
    </comment>
    <comment ref="V60" authorId="1" shapeId="0">
      <text>
        <r>
          <rPr>
            <sz val="11"/>
            <color indexed="81"/>
            <rFont val="Tahoma"/>
            <family val="2"/>
          </rPr>
          <t xml:space="preserve">
Si se prevé ampliar el Crédito para Disponer de Más Saldo, situarse en esta celda y sumar el importe de dicha Ampliación a partir del paréntesis.
(No borrar la fórmula que contiene dicho paréntesis)</t>
        </r>
      </text>
    </comment>
    <comment ref="Z60" authorId="1" shapeId="0">
      <text>
        <r>
          <rPr>
            <sz val="10"/>
            <color indexed="81"/>
            <rFont val="Tahoma"/>
            <family val="2"/>
          </rPr>
          <t>% Trimestral
- Este porcentaje predeterminado, puede modificarlo -.</t>
        </r>
      </text>
    </comment>
    <comment ref="A62" authorId="1" shapeId="0">
      <text>
        <r>
          <rPr>
            <sz val="11"/>
            <color indexed="81"/>
            <rFont val="Tahoma"/>
            <family val="2"/>
          </rPr>
          <t>En las celdas de esta fila, deben reflejarse las Disposiciones del  Límite del Crédito a CP - Financieros (celda DE 55). Escribiendo las mismas en los meses que la empresa lo precise, según los Déficits de Tesorería producidos en dichos meses y que quedarán visualizados en las celdas de Saldo Final de Tesorería (fila 49).</t>
        </r>
      </text>
    </comment>
    <comment ref="A63" authorId="1" shapeId="0">
      <text>
        <r>
          <rPr>
            <sz val="11"/>
            <color indexed="81"/>
            <rFont val="Tahoma"/>
            <family val="2"/>
          </rPr>
          <t>En las celdas de esta fila, deben reflejarse los Reembolsos de Crédito a CP - Financieros.
Los saldos positivos de las celdas del Saldo Final de Tesorería (fila 49), indicarán cuáles son los importes máximos a Reembolsar.
- La suma de reembolsos anuales, no debe superar el importe reflejado en la celda N 57 -.</t>
        </r>
      </text>
    </comment>
    <comment ref="A64" authorId="1" shapeId="0">
      <text>
        <r>
          <rPr>
            <sz val="11"/>
            <color indexed="81"/>
            <rFont val="Tahoma"/>
            <family val="2"/>
          </rPr>
          <t>Si el color de relleno de alguna de las celdas de esta fila sale rojo, es porque:
ha dispuesto  (celdas fila 57) Crédito sobrepasando el Límite del  Crédito a CP (celda DE 55).
Si el color de relleno sale amarillo, es porque:
ha reembolsado (celdas fila 58) mas del Límite del Crédito a CP concedido (suma celdas  DE 55).</t>
        </r>
      </text>
    </comment>
  </commentList>
</comments>
</file>

<file path=xl/comments15.xml><?xml version="1.0" encoding="utf-8"?>
<comments xmlns="http://schemas.openxmlformats.org/spreadsheetml/2006/main">
  <authors>
    <author>M Vicenta Perez Silvestre</author>
  </authors>
  <commentList>
    <comment ref="C28" authorId="0" shapeId="0">
      <text>
        <r>
          <rPr>
            <sz val="11"/>
            <color indexed="81"/>
            <rFont val="Tahoma"/>
            <family val="2"/>
          </rPr>
          <t>Patrimonio Neto + Pasivo No Corriente</t>
        </r>
      </text>
    </comment>
  </commentList>
</comments>
</file>

<file path=xl/comments16.xml><?xml version="1.0" encoding="utf-8"?>
<comments xmlns="http://schemas.openxmlformats.org/spreadsheetml/2006/main">
  <authors>
    <author>senta</author>
    <author>M Vicenta Perez Silvestre</author>
  </authors>
  <commentList>
    <comment ref="V9" authorId="0" shapeId="0">
      <text>
        <r>
          <rPr>
            <sz val="8"/>
            <color indexed="81"/>
            <rFont val="Tahoma"/>
            <family val="2"/>
          </rPr>
          <t xml:space="preserve">Mide la relación entre el Beneficio Neto obtenido por la empresa, en cada ejercicio económico, y los Fondos Propios (recursos aportados por los accionistas y/o propietarios y/o Inversores externos, y los acumulados generados por la actividad y no repartidos). 
Es decir, es la tasa con la que la empresa remunera a sus accionistas y/o propietarios y/o Inversores externos por lo que aportan a la misma. </t>
        </r>
      </text>
    </comment>
    <comment ref="V11" authorId="0" shapeId="0">
      <text>
        <r>
          <rPr>
            <sz val="8"/>
            <color indexed="81"/>
            <rFont val="Tahoma"/>
            <family val="2"/>
          </rPr>
          <t>Mide la relación existente entre el Beneficio de Explotación (BAII o EBIT) y la Inversion de la empresa en Activos, sin tener en cuenta cómo éstos están financiados.</t>
        </r>
      </text>
    </comment>
    <comment ref="V13" authorId="1" shapeId="0">
      <text>
        <r>
          <rPr>
            <sz val="8"/>
            <color indexed="81"/>
            <rFont val="Tahoma"/>
            <family val="2"/>
          </rPr>
          <t>Indica si los Activos más Liquidos pueden hacer frente a las Deudas a Corto Plazo (Pasivo Corriente)</t>
        </r>
      </text>
    </comment>
    <comment ref="V15" authorId="1" shapeId="0">
      <text>
        <r>
          <rPr>
            <sz val="8"/>
            <color indexed="81"/>
            <rFont val="Tahoma"/>
            <family val="2"/>
          </rPr>
          <t>Mide la relación de la Deuda contraída por la empresa y el total de Recursos Financieros que utiliza.
Indica la dependencia de la empresa respecto a los recursos financieros de procedencia ajena.
Este ratio da una primera aproximación de la salud financiera de la empresa. Cuanto mas bajo es el porcentaje más autonomía financiera.</t>
        </r>
      </text>
    </comment>
    <comment ref="V17" authorId="1" shapeId="0">
      <text>
        <r>
          <rPr>
            <sz val="8"/>
            <color indexed="81"/>
            <rFont val="Tahoma"/>
            <family val="2"/>
          </rPr>
          <t>Mide cuanto de Capaz es la empresa de con los Recursos que Genera cubrir las Deudas Financieras contraías.</t>
        </r>
      </text>
    </comment>
    <comment ref="V19" authorId="1" shapeId="0">
      <text>
        <r>
          <rPr>
            <sz val="8"/>
            <color indexed="81"/>
            <rFont val="Tahoma"/>
            <family val="2"/>
          </rPr>
          <t>Indica el importe mínimo de Facturación que debe alcanzar la empresa para cubrir todos sus Costes.</t>
        </r>
      </text>
    </comment>
    <comment ref="V23" authorId="1" shapeId="0">
      <text>
        <r>
          <rPr>
            <sz val="8"/>
            <color indexed="81"/>
            <rFont val="Tahoma"/>
            <family val="2"/>
          </rPr>
          <t>Informa de la Liquidez y Riesgo del Proyecto.
Cuanto más bajo es el Pay-Back mayor será la Liquidez y menor el Riesgo del Proyecto.</t>
        </r>
      </text>
    </comment>
  </commentList>
</comments>
</file>

<file path=xl/comments17.xml><?xml version="1.0" encoding="utf-8"?>
<comments xmlns="http://schemas.openxmlformats.org/spreadsheetml/2006/main">
  <authors>
    <author>M Vicenta Perez Silvestre</author>
    <author>senta</author>
  </authors>
  <commentList>
    <comment ref="H16" authorId="0" shapeId="0">
      <text>
        <r>
          <rPr>
            <sz val="10"/>
            <color indexed="81"/>
            <rFont val="Tahoma"/>
            <family val="2"/>
          </rPr>
          <t>Puede modificar esta previsión de stocks, así como la de los siguientes ejercicios económicos</t>
        </r>
      </text>
    </comment>
    <comment ref="A41" authorId="1" shapeId="0">
      <text>
        <r>
          <rPr>
            <sz val="11"/>
            <color indexed="81"/>
            <rFont val="Tahoma"/>
            <family val="2"/>
          </rPr>
          <t>Los %  indican cuanto supone la Deuda Financiera (Prestamos, Crowdlending y Créditos) al cierre del ejercicio,  sobre el total del Patrimonio Neto + Pasivo.</t>
        </r>
      </text>
    </comment>
    <comment ref="A42" authorId="1" shapeId="0">
      <text>
        <r>
          <rPr>
            <sz val="11"/>
            <color indexed="81"/>
            <rFont val="Tahoma"/>
            <family val="2"/>
          </rPr>
          <t>Los %  indican cuanto supone el importe del Renting pendiente de pagar al cierre del ejercicio,  sobre el total del Patrimonio Neto + Pasivo.</t>
        </r>
      </text>
    </comment>
    <comment ref="A44" authorId="1" shapeId="0">
      <text>
        <r>
          <rPr>
            <sz val="11"/>
            <color indexed="81"/>
            <rFont val="Tahoma"/>
            <family val="2"/>
          </rPr>
          <t>Los %  indican la relación de los  Recursos Permanentes (Patrimonio Neto + Pasivo No Corriente)  sobre el total del Patrimonio Neto + Pasivo.</t>
        </r>
      </text>
    </comment>
    <comment ref="C44" authorId="1" shapeId="0">
      <text>
        <r>
          <rPr>
            <sz val="10"/>
            <color indexed="81"/>
            <rFont val="Tahoma"/>
            <family val="2"/>
          </rPr>
          <t>% calculado sobre el total de P. Neto + Pasivo.</t>
        </r>
      </text>
    </comment>
    <comment ref="E44" authorId="1" shapeId="0">
      <text>
        <r>
          <rPr>
            <sz val="10"/>
            <color indexed="81"/>
            <rFont val="Tahoma"/>
            <family val="2"/>
          </rPr>
          <t>% calculado sobre el total de P. Neto + Pasivo.</t>
        </r>
      </text>
    </comment>
    <comment ref="G44" authorId="1" shapeId="0">
      <text>
        <r>
          <rPr>
            <sz val="10"/>
            <color indexed="81"/>
            <rFont val="Tahoma"/>
            <family val="2"/>
          </rPr>
          <t>% calculado sobre el total de P. Neto + Pasivo.</t>
        </r>
      </text>
    </comment>
    <comment ref="I44" authorId="1" shapeId="0">
      <text>
        <r>
          <rPr>
            <sz val="10"/>
            <color indexed="81"/>
            <rFont val="Tahoma"/>
            <family val="2"/>
          </rPr>
          <t>% calculado sobre el total de P. Neto + Pasivo.</t>
        </r>
      </text>
    </comment>
    <comment ref="K44" authorId="1" shapeId="0">
      <text>
        <r>
          <rPr>
            <sz val="10"/>
            <color indexed="81"/>
            <rFont val="Tahoma"/>
            <family val="2"/>
          </rPr>
          <t>% calculado sobre el total de P. Neto + Pasivo.</t>
        </r>
      </text>
    </comment>
    <comment ref="M44" authorId="1" shapeId="0">
      <text>
        <r>
          <rPr>
            <sz val="10"/>
            <color indexed="81"/>
            <rFont val="Tahoma"/>
            <family val="2"/>
          </rPr>
          <t>% calculado sobre el total de P. Neto + Pasivo.</t>
        </r>
      </text>
    </comment>
    <comment ref="A45" authorId="1" shapeId="0">
      <text>
        <r>
          <rPr>
            <sz val="11"/>
            <color indexed="81"/>
            <rFont val="Tahoma"/>
            <family val="2"/>
          </rPr>
          <t>Los % indican la relación de los Recursos Ajenos  (Pasivo No Corriente + Pasivo Corriente) sobre el total del Patrimonio Neto + Pasivo.</t>
        </r>
      </text>
    </comment>
    <comment ref="C45" authorId="1" shapeId="0">
      <text>
        <r>
          <rPr>
            <sz val="10"/>
            <color indexed="81"/>
            <rFont val="Tahoma"/>
            <family val="2"/>
          </rPr>
          <t>% calculado sobre el total de P. Neto + Pasivo.</t>
        </r>
      </text>
    </comment>
    <comment ref="E45" authorId="1" shapeId="0">
      <text>
        <r>
          <rPr>
            <sz val="10"/>
            <color indexed="81"/>
            <rFont val="Tahoma"/>
            <family val="2"/>
          </rPr>
          <t>% calculado sobre el total de P. Neto + Pasivo.</t>
        </r>
      </text>
    </comment>
    <comment ref="G45" authorId="1" shapeId="0">
      <text>
        <r>
          <rPr>
            <sz val="10"/>
            <color indexed="81"/>
            <rFont val="Tahoma"/>
            <family val="2"/>
          </rPr>
          <t>% calculado sobre el total de P. Neto + Pasivo.</t>
        </r>
      </text>
    </comment>
    <comment ref="I45" authorId="1" shapeId="0">
      <text>
        <r>
          <rPr>
            <sz val="10"/>
            <color indexed="81"/>
            <rFont val="Tahoma"/>
            <family val="2"/>
          </rPr>
          <t>% calculado sobre el total de P. Neto + Pasivo.</t>
        </r>
      </text>
    </comment>
    <comment ref="K45" authorId="1" shapeId="0">
      <text>
        <r>
          <rPr>
            <sz val="10"/>
            <color indexed="81"/>
            <rFont val="Tahoma"/>
            <family val="2"/>
          </rPr>
          <t>% calculado sobre el total de P. Neto + Pasivo.</t>
        </r>
      </text>
    </comment>
    <comment ref="M45" authorId="1" shapeId="0">
      <text>
        <r>
          <rPr>
            <sz val="10"/>
            <color indexed="81"/>
            <rFont val="Tahoma"/>
            <family val="2"/>
          </rPr>
          <t>% calculado sobre el total de P. Neto + Pasivo.</t>
        </r>
      </text>
    </comment>
    <comment ref="A55" authorId="1" shapeId="0">
      <text>
        <r>
          <rPr>
            <sz val="10"/>
            <color indexed="81"/>
            <rFont val="Tahoma"/>
            <family val="2"/>
          </rPr>
          <t>Posibilidad de rescatar todo  parte de las Inv. Fin. Temporales y devolver, total o parcialmente, las Deudas Pendientes cuyos saldos aparecen reflejados en las celdas de las filas anteriores según cada concepto.</t>
        </r>
      </text>
    </comment>
    <comment ref="F57" authorId="0" shapeId="0">
      <text>
        <r>
          <rPr>
            <sz val="10"/>
            <color indexed="81"/>
            <rFont val="Tahoma"/>
            <family val="2"/>
          </rPr>
          <t>Reflejar con signo positivo el importe que se va a rescatar y que se va a convertir en Disponible.</t>
        </r>
      </text>
    </comment>
    <comment ref="H57" authorId="0" shapeId="0">
      <text>
        <r>
          <rPr>
            <sz val="10"/>
            <color indexed="81"/>
            <rFont val="Tahoma"/>
            <family val="2"/>
          </rPr>
          <t>Reflejar con signo positivo el importe que se va a rescatar y que se va a convertir en Disponible.</t>
        </r>
      </text>
    </comment>
    <comment ref="J57" authorId="0" shapeId="0">
      <text>
        <r>
          <rPr>
            <sz val="10"/>
            <color indexed="81"/>
            <rFont val="Tahoma"/>
            <family val="2"/>
          </rPr>
          <t>Reflejar con signo positivo el importe que se va a rescatar y que se va a convertir en Disponible.</t>
        </r>
      </text>
    </comment>
    <comment ref="L57" authorId="0" shapeId="0">
      <text>
        <r>
          <rPr>
            <sz val="10"/>
            <color indexed="81"/>
            <rFont val="Tahoma"/>
            <family val="2"/>
          </rPr>
          <t>Reflejar con signo positivo el importe que se va a rescatar y que se va a convertir en Disponible.</t>
        </r>
      </text>
    </comment>
  </commentList>
</comments>
</file>

<file path=xl/comments18.xml><?xml version="1.0" encoding="utf-8"?>
<comments xmlns="http://schemas.openxmlformats.org/spreadsheetml/2006/main">
  <authors>
    <author>senta</author>
    <author>Maria Vicenta Perez</author>
    <author>M Vicenta Perez Silvestre</author>
    <author>Manuel Núñez Bonilla</author>
  </authors>
  <commentList>
    <comment ref="I7" authorId="0" shapeId="0">
      <text>
        <r>
          <rPr>
            <sz val="10"/>
            <color indexed="81"/>
            <rFont val="Tahoma"/>
            <family val="2"/>
          </rPr>
          <t>* Puede incrementar o dismunir los importes de los  % reflejados en las celdas de color azul y/o verde, según sus estimaciones.
* En lo que respecta a las variaciones de las Ventas (Ingresos):
1. Si prevé reflejar el mismo porcentaje a todas las Familias de Productos y/o Servicios, es suficiente con dejar, o modificar, el porcentaje de la celda de color azul (celda I9).
2. Si prevé reflejar distintos porcentajes para cada Familias de Productos y/o Servicios, deberá dejar, o modificar, el porcentaje de la Familia que lo requiera (celdas I9 a I18).</t>
        </r>
      </text>
    </comment>
    <comment ref="L7" authorId="0" shapeId="0">
      <text>
        <r>
          <rPr>
            <sz val="10"/>
            <color indexed="81"/>
            <rFont val="Tahoma"/>
            <family val="2"/>
          </rPr>
          <t>* Puede incrementar o dismunir los importes de los  % reflejados en las celdas de color azul y/o verde, según sus estimaciones.
* En lo que respecta a las variaciones de las Ventas (Ingresos):
1. Si prevé reflejar el mismo porcentaje a todas las Familias de Productos y/o Servicios, es suficiente con dejar, o modificar, el porcentaje de la celda de color azul (celda L9).
2. Si prevé reflejar distintos porcentajes para cada Familias de Productos y/o Servicios, deberá dejar, o modificar, el porcentaje de la Familia que lo requiera (celdas L9 a L18).</t>
        </r>
      </text>
    </comment>
    <comment ref="O7" authorId="0" shapeId="0">
      <text>
        <r>
          <rPr>
            <sz val="10"/>
            <color indexed="81"/>
            <rFont val="Tahoma"/>
            <family val="2"/>
          </rPr>
          <t>* Puede incrementar o dismunir los importes de los  % reflejados en las celdas de color azul y/o verde, según sus estimaciones.
* En lo que respecta a las variaciones de las Ventas (Ingresos):
1. Si prevé reflejar el mismo porcentaje a todas las Familias de Productos y/o Servicios, es suficiente con dejar, o modificar, el porcentaje de la celda de color azul (celda O9).
2. Si prevé reflejar distintos porcentajes para cada Familias de Productos y/o Servicios, deberá dejar, o modificar, el porcentaje de la Familia que lo requiera (celdas O9 a O18).</t>
        </r>
      </text>
    </comment>
    <comment ref="R7" authorId="0" shapeId="0">
      <text>
        <r>
          <rPr>
            <sz val="10"/>
            <color indexed="81"/>
            <rFont val="Tahoma"/>
            <family val="2"/>
          </rPr>
          <t>* Puede incrementar o dismunir los importes de los  % reflejados en las celdas de color azul y/o verde, según sus estimaciones.
* En lo que respecta a las variaciones de las Ventas (Ingresos):
1. Si prevé reflejar el mismo porcentaje a todas las Familias de Productos y/o Servicios, es suficiente con dejar, o modificar, el porcentaje de la celda de color azul (celda R9).
2. Si prevé reflejar distintos porcentajes para cada Familias de Productos y/o Servicios, deberá dejar, o modificar, el porcentaje de la Familia que lo requiera (celdas R9 a R18).</t>
        </r>
      </text>
    </comment>
    <comment ref="E9" authorId="1" shapeId="0">
      <text>
        <r>
          <rPr>
            <sz val="10"/>
            <color indexed="81"/>
            <rFont val="Tahoma"/>
            <family val="2"/>
          </rPr>
          <t>Los porcentajes reflejados en las celdas E7 a E16, representan la participación sobre el Total de Ventas de cada una de las Familias de los Productosy/o Servicios.
La suma de dichos porcentajes = 100% (Total Ventas).</t>
        </r>
      </text>
    </comment>
    <comment ref="K9" authorId="1" shapeId="0">
      <text>
        <r>
          <rPr>
            <sz val="10"/>
            <color indexed="81"/>
            <rFont val="Tahoma"/>
            <family val="2"/>
          </rPr>
          <t>Los porcentajes reflejados en las celdas K9 a K18, representan la participación sobre el Total de Ventas de cada una de las Familias de los Productosy/o Servicios.
La suma de dichos porcentajes = 100% (Total Ventas).</t>
        </r>
      </text>
    </comment>
    <comment ref="N9" authorId="1" shapeId="0">
      <text>
        <r>
          <rPr>
            <sz val="10"/>
            <color indexed="81"/>
            <rFont val="Tahoma"/>
            <family val="2"/>
          </rPr>
          <t>Los porcentajes reflejados en las celdas M9 a M18, representan la participación sobre el Total de Ventas de cada una de las Familias de los Productosy/o Servicios.
La suma de dichos porcentajes = 100% (Total Ventas).</t>
        </r>
      </text>
    </comment>
    <comment ref="Q9" authorId="1" shapeId="0">
      <text>
        <r>
          <rPr>
            <sz val="10"/>
            <color indexed="81"/>
            <rFont val="Tahoma"/>
            <family val="2"/>
          </rPr>
          <t>Los porcentajes reflejados en las celdas Q9 a Q18, representan la participación sobre el Total de Ventas de cada una de las Familias de los Productosy/o Servicios.
La suma de dichos porcentajes = 100% (Total Ventas).</t>
        </r>
      </text>
    </comment>
    <comment ref="B43" authorId="0" shapeId="0">
      <text>
        <r>
          <rPr>
            <sz val="11"/>
            <color indexed="81"/>
            <rFont val="Tahoma"/>
            <family val="2"/>
          </rPr>
          <t>Si se trata de un Ingreso Excepcional, refleje el valor sin signo alguno.
Si se trata de un Gasto Excepcional, refleje el valor con signo negativo.</t>
        </r>
      </text>
    </comment>
    <comment ref="B46" authorId="0" shapeId="0">
      <text>
        <r>
          <rPr>
            <sz val="10"/>
            <color indexed="81"/>
            <rFont val="Tahoma"/>
            <family val="2"/>
          </rPr>
          <t>El valor de esta celda debe coincidir con el de la celda B14</t>
        </r>
        <r>
          <rPr>
            <b/>
            <sz val="10"/>
            <color indexed="81"/>
            <rFont val="Tahoma"/>
            <family val="2"/>
          </rPr>
          <t xml:space="preserve"> </t>
        </r>
        <r>
          <rPr>
            <sz val="10"/>
            <color indexed="81"/>
            <rFont val="Tahoma"/>
            <family val="2"/>
          </rPr>
          <t xml:space="preserve">de la hoja "3. Pasivos de Partida". 
</t>
        </r>
      </text>
    </comment>
    <comment ref="A47" authorId="2" shapeId="0">
      <text>
        <r>
          <rPr>
            <sz val="11"/>
            <color indexed="81"/>
            <rFont val="Tahoma"/>
            <family val="2"/>
          </rPr>
          <t>Los importes de las celdas G, J, M y P de esta fila coinicidirán con los importes de la fila de "Coste de Ventas", lo cual quiere decir que se compra por reposición.
En el caso de que la compra no se realice de esta manera y se compre por un importe diferente al del Coste de Ventas, entrar en las celdas coloreadas en verde de esta fila (I, L, O y R) y cambiar dicho %.
Atención ¡¡¡, si el % que se introduce en las celdas I, L, O y R de esta fila es negativo, hay que fijarse en las celdas F, H, J y L 16 de la hoja 11, pues éstas  no pueden aparecer con signo negativo.</t>
        </r>
      </text>
    </comment>
    <comment ref="A49" authorId="0" shapeId="0">
      <text>
        <r>
          <rPr>
            <sz val="11"/>
            <color indexed="81"/>
            <rFont val="Tahoma"/>
            <family val="2"/>
          </rPr>
          <t>Los %  indican la relación entre el Cash-Flow Económico (Beneficio Neto + Amortizaciones)  y el total de Ventas (Ingresos).</t>
        </r>
      </text>
    </comment>
    <comment ref="C49" authorId="0" shapeId="0">
      <text>
        <r>
          <rPr>
            <sz val="10"/>
            <color indexed="81"/>
            <rFont val="Tahoma"/>
            <family val="2"/>
          </rPr>
          <t>% calculado sobre el total de las Ventas.</t>
        </r>
      </text>
    </comment>
    <comment ref="E49" authorId="0" shapeId="0">
      <text>
        <r>
          <rPr>
            <sz val="10"/>
            <color indexed="81"/>
            <rFont val="Tahoma"/>
            <family val="2"/>
          </rPr>
          <t>% calculado sobre el total de las Ventas.</t>
        </r>
      </text>
    </comment>
    <comment ref="H49" authorId="0" shapeId="0">
      <text>
        <r>
          <rPr>
            <sz val="10"/>
            <color indexed="81"/>
            <rFont val="Tahoma"/>
            <family val="2"/>
          </rPr>
          <t>% calculado sobre el total de las Ventas.</t>
        </r>
      </text>
    </comment>
    <comment ref="K49" authorId="0" shapeId="0">
      <text>
        <r>
          <rPr>
            <sz val="10"/>
            <color indexed="81"/>
            <rFont val="Tahoma"/>
            <family val="2"/>
          </rPr>
          <t>% calculado sobre el total de las Ventas.</t>
        </r>
      </text>
    </comment>
    <comment ref="N49" authorId="0" shapeId="0">
      <text>
        <r>
          <rPr>
            <sz val="10"/>
            <color indexed="81"/>
            <rFont val="Tahoma"/>
            <family val="2"/>
          </rPr>
          <t>% calculado sobre el total de las Ventas.</t>
        </r>
      </text>
    </comment>
    <comment ref="Q49" authorId="0" shapeId="0">
      <text>
        <r>
          <rPr>
            <sz val="10"/>
            <color indexed="81"/>
            <rFont val="Tahoma"/>
            <family val="2"/>
          </rPr>
          <t>% calculado sobre el total de las Ventas.</t>
        </r>
      </text>
    </comment>
    <comment ref="D61" authorId="1" shapeId="0">
      <text>
        <r>
          <rPr>
            <sz val="10"/>
            <color indexed="81"/>
            <rFont val="Tahoma"/>
            <family val="2"/>
          </rPr>
          <t>La suma de los porcentajes a reflejar en las celdas de esta columna, debe ser 100%.</t>
        </r>
      </text>
    </comment>
    <comment ref="G61" authorId="1" shapeId="0">
      <text>
        <r>
          <rPr>
            <sz val="10"/>
            <color indexed="81"/>
            <rFont val="Tahoma"/>
            <family val="2"/>
          </rPr>
          <t>La suma de los porcentajes a reflejar en las celdas de esta columna, debe ser 100%.</t>
        </r>
      </text>
    </comment>
    <comment ref="J61" authorId="1" shapeId="0">
      <text>
        <r>
          <rPr>
            <sz val="10"/>
            <color indexed="81"/>
            <rFont val="Tahoma"/>
            <family val="2"/>
          </rPr>
          <t>La suma de los porcentajes a reflejar en las celdas de esta columna, debe ser 100%.</t>
        </r>
      </text>
    </comment>
    <comment ref="M61" authorId="1" shapeId="0">
      <text>
        <r>
          <rPr>
            <sz val="10"/>
            <color indexed="81"/>
            <rFont val="Tahoma"/>
            <family val="2"/>
          </rPr>
          <t>La suma de los porcentajes a reflejar en las celdas de esta columna, debe ser 100%.</t>
        </r>
      </text>
    </comment>
    <comment ref="P61" authorId="1" shapeId="0">
      <text>
        <r>
          <rPr>
            <sz val="10"/>
            <color indexed="81"/>
            <rFont val="Tahoma"/>
            <family val="2"/>
          </rPr>
          <t>La suma de los porcentajes a reflejar en las celdas de esta columna, debe ser 100%.</t>
        </r>
      </text>
    </comment>
    <comment ref="A62" authorId="3" shapeId="0">
      <text>
        <r>
          <rPr>
            <sz val="10"/>
            <color indexed="81"/>
            <rFont val="Tahoma"/>
            <family val="2"/>
          </rPr>
          <t xml:space="preserve">
E</t>
        </r>
        <r>
          <rPr>
            <sz val="11"/>
            <color indexed="81"/>
            <rFont val="Tahoma"/>
            <family val="2"/>
          </rPr>
          <t>l 10% de los Resultados Positivos del ejercicio anterior deben dotarse a Reservas Legales, hasta que alcance el 20% del Capital Social. 
Este importe se considera indisponible hasta alcanzar ese 20%.</t>
        </r>
      </text>
    </comment>
    <comment ref="A63" authorId="1" shapeId="0">
      <text>
        <r>
          <rPr>
            <sz val="10"/>
            <color indexed="81"/>
            <rFont val="Tahoma"/>
            <family val="2"/>
          </rPr>
          <t xml:space="preserve">
Constituidas libremente. Pueden ser utilizada de forma discrecional: para compensación de pérdidas, ampliación de capital, constitución de otras reservas, reparto a los socios como dividendos.</t>
        </r>
      </text>
    </comment>
    <comment ref="A64" authorId="1" shapeId="0">
      <text>
        <r>
          <rPr>
            <sz val="10"/>
            <color indexed="81"/>
            <rFont val="Tahoma"/>
            <family val="2"/>
          </rPr>
          <t>Beneficios no distribuidos y no aplicados a ninguna Reserva en concreto, una vez aprobada la distribución del Resultado. Seguirá formando parte del Remanente.</t>
        </r>
      </text>
    </comment>
    <comment ref="A65" authorId="1" shapeId="0">
      <text>
        <r>
          <rPr>
            <sz val="10"/>
            <color indexed="81"/>
            <rFont val="Tahoma"/>
            <family val="2"/>
          </rPr>
          <t xml:space="preserve">
Reparto de los Beneficios entre los Propietarios y/o Socios de la empresa.</t>
        </r>
      </text>
    </comment>
    <comment ref="A66" authorId="1" shapeId="0">
      <text>
        <r>
          <rPr>
            <sz val="10"/>
            <color indexed="81"/>
            <rFont val="Tahoma"/>
            <family val="2"/>
          </rPr>
          <t>Reparto de los Beneficios entre los Inversores Externos (Business Angels, Family and Friends,...)</t>
        </r>
      </text>
    </comment>
    <comment ref="A67" authorId="3" shapeId="0">
      <text>
        <r>
          <rPr>
            <sz val="11"/>
            <color indexed="81"/>
            <rFont val="Tahoma"/>
            <family val="2"/>
          </rPr>
          <t xml:space="preserve">Si los totales de porcentajes de Distribución de la Propuesta de Aplicación del Resultado, no suma 100%, el color de relleno de las celdas D91, G91, J91, M91 y P91 saldrá rojo.
Sólo serán operativos estos % cuando los Resultados del Ejercicio anterior + Reservas Voluntarias, sean positivos y se puedan distribuir. En el encabezado de la columna de cada año (fila 84) se indican los importes que es posible distribuir.
</t>
        </r>
      </text>
    </comment>
  </commentList>
</comments>
</file>

<file path=xl/comments19.xml><?xml version="1.0" encoding="utf-8"?>
<comments xmlns="http://schemas.openxmlformats.org/spreadsheetml/2006/main">
  <authors>
    <author>senta</author>
    <author>M Vicenta Perez Silvestre</author>
    <author>María  Vicenta Pérez Silvestre</author>
    <author>SENTA</author>
  </authors>
  <commentList>
    <comment ref="A6" authorId="0" shapeId="0">
      <text>
        <r>
          <rPr>
            <sz val="11"/>
            <color indexed="81"/>
            <rFont val="Tahoma"/>
            <family val="2"/>
          </rPr>
          <t xml:space="preserve">Mide la relación entre el Beneficio Neto obtenido por la empresa, en cada ejercicio económico, y los Fondos Propios (recursos aportados por los accionistas y/o propietarios y/o Inversores externos, y los acumulados generados por la actividad y no repartidos). 
Es decir, es la tasa con la que la empresa remunera a sus accionistas y/o propietarios y/o Inversores externos por lo que aportan a la misma. </t>
        </r>
      </text>
    </comment>
    <comment ref="A8" authorId="0" shapeId="0">
      <text>
        <r>
          <rPr>
            <sz val="11"/>
            <color indexed="81"/>
            <rFont val="Tahoma"/>
            <family val="2"/>
          </rPr>
          <t>Mide la relación existente entre el Beneficio de Explotación (BAII o EBIT) y la Inversion de la empresa en Activos, sin tener en cuenta cómo éstos están financiados.</t>
        </r>
      </text>
    </comment>
    <comment ref="A10" authorId="0" shapeId="0">
      <text>
        <r>
          <rPr>
            <sz val="11"/>
            <color indexed="81"/>
            <rFont val="Tahoma"/>
            <family val="2"/>
          </rPr>
          <t>Mide la relación entre el Beneficio Operativo y las Ventas (Ingresos) de la empresa.
Indica como la empresa gestiona su margen y gastos operativos.</t>
        </r>
      </text>
    </comment>
    <comment ref="A14" authorId="0" shapeId="0">
      <text>
        <r>
          <rPr>
            <sz val="11"/>
            <color indexed="81"/>
            <rFont val="Tahoma"/>
            <family val="2"/>
          </rPr>
          <t>Relaciona lo que la empresa tiene  (Activo Total) con lo que la empresa debe (Pasivo Total).</t>
        </r>
      </text>
    </comment>
    <comment ref="A15" authorId="0" shapeId="0">
      <text>
        <r>
          <rPr>
            <sz val="11"/>
            <color indexed="81"/>
            <rFont val="Tahoma"/>
            <family val="2"/>
          </rPr>
          <t>Indica si los Activos Corrientes de la empresa, que menos tardan en convertirse en líquidos (Realizable + Disponible) son, o no,  sufientes para hacer frente a sus Deudas a Corto Plazo (Pasivo Corriente).</t>
        </r>
      </text>
    </comment>
    <comment ref="A16" authorId="0" shapeId="0">
      <text>
        <r>
          <rPr>
            <sz val="11"/>
            <color indexed="81"/>
            <rFont val="Tahoma"/>
            <family val="2"/>
          </rPr>
          <t>Indica si con los Activos Corrientes más liquidos (Disponible: Caja y Bancos) se puede hacer frente a las Deudas a Corto Plazo (Pasivo Corriente).</t>
        </r>
      </text>
    </comment>
    <comment ref="AP17" authorId="0" shapeId="0">
      <text>
        <r>
          <rPr>
            <sz val="8"/>
            <color indexed="81"/>
            <rFont val="Tahoma"/>
            <family val="2"/>
          </rPr>
          <t xml:space="preserve">Mide la relación entre el Beneficio Neto obtenido por la empresa, en cada ejercicio económico, y los Fondos Propios (recursos aportados por los accionistas y/o propietarios y/o Inversores externos, y los acumulados generados por la actividad y no repartidos). 
Es decir, es la tasa con la que la empresa remunera a sus accionistas y/o propietarios y/o Inversores externos por lo que aportan a la misma. </t>
        </r>
      </text>
    </comment>
    <comment ref="A19" authorId="0" shapeId="0">
      <text>
        <r>
          <rPr>
            <sz val="11"/>
            <color indexed="81"/>
            <rFont val="Tahoma"/>
            <family val="2"/>
          </rPr>
          <t xml:space="preserve">Mide la relación entre las Deudas contraidas por la empresa (Pasivo Exigible) y el Total de Recursos Financieros que utiliza. Es decir, mide el grado de dependencia que tiene la empresa respecto a los Recursos Financieros de procedencia ajena.
Este ratio da una primera aproximación de la salud financiera de la empresa. Cuanto más bajo es el porcentaje, más autonomía financiera tiene la empresa.
</t>
        </r>
      </text>
    </comment>
    <comment ref="A20" authorId="1" shapeId="0">
      <text>
        <r>
          <rPr>
            <sz val="11"/>
            <color indexed="81"/>
            <rFont val="Tahoma"/>
            <family val="2"/>
          </rPr>
          <t>Mide el peso de las Deudas a Corto Plazo (de menor calidad) respecto a las Deudas Totales.
Cuanto menor sea, signific que la Deuda es de mejor calidad en lo que a plazo se refiere.
.</t>
        </r>
      </text>
    </comment>
    <comment ref="AP20" authorId="0" shapeId="0">
      <text>
        <r>
          <rPr>
            <sz val="8"/>
            <color indexed="81"/>
            <rFont val="Tahoma"/>
            <family val="2"/>
          </rPr>
          <t>Mide la relación existente entre el Beneficio de Explotación (BAII o EBIT) y la Inversion de la empresa en Activos, sin tener en cuenta cómo éstos están financiados.</t>
        </r>
      </text>
    </comment>
    <comment ref="A21" authorId="0" shapeId="0">
      <text>
        <r>
          <rPr>
            <sz val="11"/>
            <color indexed="81"/>
            <rFont val="Tahoma"/>
            <family val="2"/>
          </rPr>
          <t>Relaciona la Capacidad de Generar Recursos, o Cash-Flow Económico (Beneficio Neto + Amortizaciones), con las cantidades comprometidas de Préstamos, Créditos y/o Leasing.</t>
        </r>
      </text>
    </comment>
    <comment ref="A22" authorId="0" shapeId="0">
      <text>
        <r>
          <rPr>
            <sz val="11"/>
            <color indexed="81"/>
            <rFont val="Tahoma"/>
            <family val="2"/>
          </rPr>
          <t xml:space="preserve">Indica el Nº de veces en que se cubre el Interés Financiero, es decir, cúal es la holgura que se tiene con el importe de Beneficios antes de Intereses e Impuestos (EBIT) para cubrir los Gastos Financieros (representados, fundamentalmente, por los Intereses Financieros).
Las entidades financieras, a la hora de conceder financiación, consideran un riesgo aceptable, cuando este ratio está por encima  de 2,5 a 3. </t>
        </r>
      </text>
    </comment>
    <comment ref="AP23" authorId="1" shapeId="0">
      <text>
        <r>
          <rPr>
            <sz val="8"/>
            <color indexed="81"/>
            <rFont val="Tahoma"/>
            <family val="2"/>
          </rPr>
          <t>Indica si los Activos más Liquidos pueden hacer frente a las Deudas a Corto Plazo (Pasivo Corriente)</t>
        </r>
      </text>
    </comment>
    <comment ref="A25" authorId="0" shapeId="0">
      <text>
        <r>
          <rPr>
            <sz val="11"/>
            <color indexed="81"/>
            <rFont val="Tahoma"/>
            <family val="2"/>
          </rPr>
          <t>Informa sobre el crédito, en días, concedidos a los Clientes, por las Ventas realizadas.</t>
        </r>
      </text>
    </comment>
    <comment ref="A26" authorId="0" shapeId="0">
      <text>
        <r>
          <rPr>
            <sz val="11"/>
            <color indexed="81"/>
            <rFont val="Tahoma"/>
            <family val="2"/>
          </rPr>
          <t>Informa sobre el crédito, en días, recibido de los Proveedores, por las Compras efectuadas.</t>
        </r>
      </text>
    </comment>
    <comment ref="AP26" authorId="1" shapeId="0">
      <text>
        <r>
          <rPr>
            <sz val="8"/>
            <color indexed="81"/>
            <rFont val="Tahoma"/>
            <family val="2"/>
          </rPr>
          <t>Mide la relación de la Deuda contraída por la empresa y el total de Recursos Financieros que utiliza.
Indica la dependencia de la empresa respecto a los recursos financieros de procedencia ajena.
Este ratio da una primera aproximación de la salud financiera de la empresa. Cuanto mas bajo es el porcentaje más autonomía financiera.</t>
        </r>
      </text>
    </comment>
    <comment ref="A28" authorId="0" shapeId="0">
      <text>
        <r>
          <rPr>
            <sz val="11"/>
            <color indexed="81"/>
            <rFont val="Tahoma"/>
            <family val="2"/>
          </rPr>
          <t>Informa sobre los Recursos Permanentes que financian los Activos Corrientes.
Un Fondo de Maniobra Suficiente, es una Garantía para la Estabilidad de la empresa.</t>
        </r>
      </text>
    </comment>
    <comment ref="AP29" authorId="1" shapeId="0">
      <text>
        <r>
          <rPr>
            <sz val="8"/>
            <color indexed="81"/>
            <rFont val="Tahoma"/>
            <family val="2"/>
          </rPr>
          <t>Mide cuanto de Capaz es la empresa de con los Recursos que Genera cubrir las Deudas Financieras contraías.</t>
        </r>
      </text>
    </comment>
    <comment ref="A30" authorId="2" shapeId="0">
      <text>
        <r>
          <rPr>
            <sz val="10"/>
            <color indexed="81"/>
            <rFont val="Times New Roman"/>
            <family val="1"/>
          </rPr>
          <t>I</t>
        </r>
        <r>
          <rPr>
            <sz val="11"/>
            <color indexed="81"/>
            <rFont val="Times New Roman"/>
            <family val="1"/>
          </rPr>
          <t>nforma sobre la Liquidez y el Riesgo del Proyecto: cuanto más bajo sea el número de años, mayor será la Liquidez y menor será el Riesgo del Proyecto.
Este ratio viene determinado por la suma de los Cash-Flow de los 5 ejercicios.
Si dicha suma es negativa, la celda D30 aparecerá con el fondo de color rojo y con la indicación " &gt; 5 años", ya que no disponemos de datos para conocer, con exactitud, cúal es el Plazo en el que se tarda en Recuperar la Inversión.</t>
        </r>
      </text>
    </comment>
    <comment ref="A32" authorId="2" shapeId="0">
      <text>
        <r>
          <rPr>
            <sz val="10"/>
            <color indexed="81"/>
            <rFont val="Times New Roman"/>
            <family val="1"/>
          </rPr>
          <t>Este método trata de determinar la viabilidad económica de una empresa de la misma manera que se valora un proyecto de inversión. 
El objetivo fundamental del VAN, es el determinar la rentabilidad o viabillidad de la empresa en términos absolutos.
Así pues, consideraremos que un proyecto es viable, en términos absolutos, cuando el VAN sea positivo.
Y ante dos alternativas o escenarios, se considerará más viable aquel que refleje el mayor VAN positivo.</t>
        </r>
      </text>
    </comment>
    <comment ref="AP32" authorId="1" shapeId="0">
      <text>
        <r>
          <rPr>
            <sz val="8"/>
            <color indexed="81"/>
            <rFont val="Tahoma"/>
            <family val="2"/>
          </rPr>
          <t>Indica el importe mínimo de Facturación que debe alcanzar la empresa para cubrir todos sus Costes.</t>
        </r>
      </text>
    </comment>
    <comment ref="B33" authorId="3" shapeId="0">
      <text>
        <r>
          <rPr>
            <sz val="11"/>
            <color indexed="81"/>
            <rFont val="Times New Roman"/>
            <family val="1"/>
          </rPr>
          <t>También llamada: Tasa de Interés Esperada, o Tasa de Actualización, oTasa del Capital</t>
        </r>
      </text>
    </comment>
    <comment ref="D33" authorId="3" shapeId="0">
      <text>
        <r>
          <rPr>
            <sz val="11"/>
            <color indexed="81"/>
            <rFont val="Times New Roman"/>
            <family val="1"/>
          </rPr>
          <t>Podría ser: el tipo de interés a largo plazo que ofrecen las entidades financieras, o la incidencia esperada de la inflación más una prima adicional en función del riesgo del proyecto.</t>
        </r>
      </text>
    </comment>
    <comment ref="A35" authorId="2" shapeId="0">
      <text>
        <r>
          <rPr>
            <sz val="10"/>
            <color indexed="81"/>
            <rFont val="Times New Roman"/>
            <family val="1"/>
          </rPr>
          <t>Es la Tasa de Descuento que iguala el valor descontado de los Cash-Flows futuros con la Inversión Incial.
Es decir, es la Tasa de Interés o Tasa de Descuento que iguala el VAN a 0 (cero).
Si la TIR es mayor que la Tasa de Interés Esperada, aceptaremos la Inversión.
Si la TIR es menor que la Tasa de Interés Esperada, rechazaremos la Inversión.
Cuando se tienen varias alternativas o escenarios, se elegirá el proyecto cuya TIR sea mayor.</t>
        </r>
      </text>
    </comment>
    <comment ref="A37" authorId="0" shapeId="0">
      <text>
        <r>
          <rPr>
            <sz val="11"/>
            <color indexed="81"/>
            <rFont val="Tahoma"/>
            <family val="2"/>
          </rPr>
          <t>Importe en el que se igualan los Ingresos con los Gastos.</t>
        </r>
      </text>
    </comment>
    <comment ref="A39" authorId="2" shapeId="0">
      <text>
        <r>
          <rPr>
            <sz val="11"/>
            <color indexed="81"/>
            <rFont val="Tahoma"/>
            <family val="2"/>
          </rPr>
          <t>Relaciona lo que la empresa vende (Ventas Totales) con lo que debe vender para cubrir gastos (Punto Muerto).
Cuanto mas por encima  esté este indice, mayor Garantía y Seguridad en lo que respecta a la supervivencia de la empresa, y por lo tanto,  menor Riesgo de desaparición.</t>
        </r>
      </text>
    </comment>
  </commentList>
</comments>
</file>

<file path=xl/comments2.xml><?xml version="1.0" encoding="utf-8"?>
<comments xmlns="http://schemas.openxmlformats.org/spreadsheetml/2006/main">
  <authors>
    <author>M Vicenta Perez Silvestre</author>
    <author>Maria Vicenta Perez</author>
    <author>senta</author>
  </authors>
  <commentList>
    <comment ref="C6" authorId="0" shapeId="0">
      <text>
        <r>
          <rPr>
            <sz val="12"/>
            <color indexed="81"/>
            <rFont val="Tahoma"/>
            <family val="2"/>
          </rPr>
          <t>Si no se modifican las celdas de las uds a vender o euros a facturar del cuadro de  abajo, se puede reflejar, en las celdas de esta fila, la variación de dichas uds a vender o euros a facturar en forma de % que refleje aumentos o disminuciones respecto al mes anterior</t>
        </r>
      </text>
    </comment>
    <comment ref="P25" authorId="1" shapeId="0">
      <text>
        <r>
          <rPr>
            <sz val="10"/>
            <color indexed="81"/>
            <rFont val="Tahoma"/>
            <family val="2"/>
          </rPr>
          <t>Total  Ingresos (Facturación o Ventas) previstos para el 1º ejercicio económico.</t>
        </r>
        <r>
          <rPr>
            <sz val="9"/>
            <color indexed="81"/>
            <rFont val="Tahoma"/>
            <family val="2"/>
          </rPr>
          <t xml:space="preserve">
</t>
        </r>
      </text>
    </comment>
    <comment ref="AI25" authorId="1" shapeId="0">
      <text>
        <r>
          <rPr>
            <sz val="10"/>
            <color indexed="81"/>
            <rFont val="Tahoma"/>
            <family val="2"/>
          </rPr>
          <t>Total  Ingresos (Facturación o Ventas) previstos para el 2º ejercicio económico.</t>
        </r>
        <r>
          <rPr>
            <sz val="9"/>
            <color indexed="81"/>
            <rFont val="Tahoma"/>
            <family val="2"/>
          </rPr>
          <t xml:space="preserve">
</t>
        </r>
      </text>
    </comment>
    <comment ref="P29" authorId="1" shapeId="0">
      <text>
        <r>
          <rPr>
            <sz val="10"/>
            <color indexed="81"/>
            <rFont val="Tahoma"/>
            <family val="2"/>
          </rPr>
          <t xml:space="preserve">Refleja el total de  Ingresos (Facturación o Ventas) que debe tener la actividad, para cubrir todos los Gastos previstos a consumir (Costes totales) en el 1º ejer. económico.
. Si este importe es inferior al obtenido en la celda O24, los Ingresos totales del 1º ejer. ec. cubrirán los Gastos totales, por lo que la empresa tendrá Beneficios.
. Si este importe es superior al obtenido en la celda O24, los Ingresos totales del 1º ejer. no cubrirán los Gastos totales, por lo que la empresa tendrá Pérdidas.
. Si este importe es igual al obtenido en la celda O24, Ingresos totales = Gastos totales del 1º ejer., por lo que el Resultado será cero.
</t>
        </r>
      </text>
    </comment>
    <comment ref="AI29" authorId="1" shapeId="0">
      <text>
        <r>
          <rPr>
            <sz val="10"/>
            <color indexed="81"/>
            <rFont val="Tahoma"/>
            <family val="2"/>
          </rPr>
          <t xml:space="preserve">Refleja el total de  Ingresos (Facturación o Ventas) que debe tener la actividad, para cubrir todos los Gastos previstos a consumir (Costes totales) en el 2º ejer. económico.
. Si este importe es inferior al obtenido en la celda AL24, los Ingresos totales del 2º ejer. ec. cubrirán los Gastos totales, por lo que la empresa tendrá Beneficios.
. Si este importe es superior al obtenido en la celda AL24, los Ingresos totales del 2º ejer. no cubrirán los Gastos totales, por lo que la empresa tendrá Pérdidas.
. Si este importe es igual al obtenido en la celda AL24, Ingresos totales = Gastos totales del 2º ejer., por lo que el Resultado será cero.
</t>
        </r>
      </text>
    </comment>
    <comment ref="G40" authorId="2" shapeId="0">
      <text>
        <r>
          <rPr>
            <sz val="10"/>
            <color indexed="81"/>
            <rFont val="Tahoma"/>
            <family val="2"/>
          </rPr>
          <t xml:space="preserve">Entre las celdas siguientes hay que reflejar la distribución de los Cobros por Ventas en forma de porcentaje sobre 100, de manera que la suma de los mismos debe ser el 100% </t>
        </r>
      </text>
    </comment>
    <comment ref="Z40" authorId="2" shapeId="0">
      <text>
        <r>
          <rPr>
            <sz val="10"/>
            <color indexed="81"/>
            <rFont val="Tahoma"/>
            <family val="2"/>
          </rPr>
          <t xml:space="preserve">Entre las celdas siguientes hay que reflejar la distribución de los Cobros por Ventas en forma de porcentaje sobre 100, de manera que la suma de los mismos debe ser el 100% </t>
        </r>
      </text>
    </comment>
    <comment ref="C69" authorId="0" shapeId="0">
      <text>
        <r>
          <rPr>
            <sz val="11"/>
            <color indexed="81"/>
            <rFont val="Tahoma"/>
            <family val="2"/>
          </rPr>
          <t>Si alguna de estas dos celda está en rojo es porque siguen quedando "Cobros Pdtes de Clientes" y/o "de Otros Deudores" que no se van a cobrar este año.</t>
        </r>
      </text>
    </comment>
    <comment ref="V69" authorId="0" shapeId="0">
      <text>
        <r>
          <rPr>
            <sz val="11"/>
            <color indexed="81"/>
            <rFont val="Tahoma"/>
            <family val="2"/>
          </rPr>
          <t>Si alguna de estas dos celda está en rojo es porque siguen quedando "Cobros Pdtes de Clientes" y/o "de Otros Deudores" que no se van a cobrar en este 2º año.</t>
        </r>
      </text>
    </comment>
    <comment ref="C79" authorId="1" shapeId="0">
      <text>
        <r>
          <rPr>
            <sz val="10"/>
            <color indexed="81"/>
            <rFont val="Tahoma"/>
            <family val="2"/>
          </rPr>
          <t>Indicar la Tasa de Descuento (Coste Financiero) a pagar a la Entidad Financiera con la que se contrate el servicio de Cobro por medio de Tarjeta de Crédito y/o Débito, Pasarela de Pago u otros Sistema de Cobro.
Si se tiene contratado con varias Entidades, escribir un porcentaje medio ponderado.</t>
        </r>
      </text>
    </comment>
    <comment ref="V79" authorId="1" shapeId="0">
      <text>
        <r>
          <rPr>
            <sz val="10"/>
            <color indexed="81"/>
            <rFont val="Tahoma"/>
            <family val="2"/>
          </rPr>
          <t>Indicar la Tasa de Descuento (Coste Financiero) a pagar a la Entidad Financiera con la que se contrate el servicio de Cobro por medio de Tarjeta de Crédito y/o Débito, Pasarela e Pago u otros Sistema de Cobro.
Si se tiene contratado con varias Entidades, escribir un porcentaje medio ponderado.</t>
        </r>
      </text>
    </comment>
    <comment ref="D80" authorId="1" shapeId="0">
      <text>
        <r>
          <rPr>
            <sz val="10"/>
            <color indexed="81"/>
            <rFont val="Tahoma"/>
            <family val="2"/>
          </rPr>
          <t>El porcentaje de Ventas a cobrar mediante Tarjeta de Crédito y/o Débito, Pasarela de Pago u Otro Sistema de Cobro, que se escriba en esta celda, se copiará en las siguientes.
Si en algún/os mes/es dicho porcentaje varía, situaros en la/s celda/s del mes/es correspondiente/s y modificar el/los porcentaje/s.</t>
        </r>
      </text>
    </comment>
    <comment ref="W80" authorId="1" shapeId="0">
      <text>
        <r>
          <rPr>
            <sz val="10"/>
            <color indexed="81"/>
            <rFont val="Tahoma"/>
            <family val="2"/>
          </rPr>
          <t>El porcentaje de Ventas a cobrar mediante Tarjeta de Crédito y/o Débito,Pasarela de Pago u Otro Sistema de Cobro, que se escriba en esta celda, se copiará en las siguientes.
Si en algún/os mes/es dicho porcentaje varía, situaros en la/s celda/s del mes/es correspondiente/s y modificar el/los porcentaje/s.</t>
        </r>
      </text>
    </comment>
    <comment ref="C91" authorId="1" shapeId="0">
      <text>
        <r>
          <rPr>
            <sz val="10"/>
            <color indexed="81"/>
            <rFont val="Tahoma"/>
            <family val="2"/>
          </rPr>
          <t>Indica cuál es la contribución mensual de las Ventas, en porcentaje, respecto al total anual de las mismas.
Mas abajo, se puede visualizar en forma gráfica: "Gráfico Estacionalidad de las Ventas".</t>
        </r>
      </text>
    </comment>
    <comment ref="E115" authorId="1" shapeId="0">
      <text>
        <r>
          <rPr>
            <sz val="10"/>
            <color indexed="81"/>
            <rFont val="Tahoma"/>
            <family val="2"/>
          </rPr>
          <t>Ventas de cada familia sobre el Total Ventas anuales (en %).</t>
        </r>
      </text>
    </comment>
    <comment ref="G115" authorId="1" shapeId="0">
      <text>
        <r>
          <rPr>
            <sz val="10"/>
            <color indexed="81"/>
            <rFont val="Tahoma"/>
            <family val="2"/>
          </rPr>
          <t>Costes D. Variables de cada familia sobre el Total Coste Variables  (o Costes de Ventas) anuales (en %).</t>
        </r>
      </text>
    </comment>
    <comment ref="H115" authorId="1" shapeId="0">
      <text>
        <r>
          <rPr>
            <sz val="10"/>
            <color indexed="81"/>
            <rFont val="Tahoma"/>
            <family val="2"/>
          </rPr>
          <t>Diferencia entre las Ventas y Costes Variables (o Costes de Ventas), de cada familia.</t>
        </r>
      </text>
    </comment>
    <comment ref="I115" authorId="1" shapeId="0">
      <text>
        <r>
          <rPr>
            <sz val="10"/>
            <color indexed="81"/>
            <rFont val="Tahoma"/>
            <family val="2"/>
          </rPr>
          <t>Margen de cada familia sobre el Total Ventas de cada familia (en %).</t>
        </r>
      </text>
    </comment>
    <comment ref="J115" authorId="1" shapeId="0">
      <text>
        <r>
          <rPr>
            <sz val="10"/>
            <color indexed="81"/>
            <rFont val="Tahoma"/>
            <family val="2"/>
          </rPr>
          <t>Margen de cada familia sobre el Margen Total anual (en %).</t>
        </r>
      </text>
    </comment>
    <comment ref="X115" authorId="1" shapeId="0">
      <text>
        <r>
          <rPr>
            <sz val="10"/>
            <color indexed="81"/>
            <rFont val="Tahoma"/>
            <family val="2"/>
          </rPr>
          <t>Ventas de cada familia sobre el Total Ventas anuales (en %).</t>
        </r>
      </text>
    </comment>
    <comment ref="Z115" authorId="1" shapeId="0">
      <text>
        <r>
          <rPr>
            <sz val="10"/>
            <color indexed="81"/>
            <rFont val="Tahoma"/>
            <family val="2"/>
          </rPr>
          <t>Costes D. Variables de cada familia sobre el Total Coste Variables  (o Costes de Ventas) anuales (en %).</t>
        </r>
      </text>
    </comment>
    <comment ref="AA115" authorId="1" shapeId="0">
      <text>
        <r>
          <rPr>
            <sz val="10"/>
            <color indexed="81"/>
            <rFont val="Tahoma"/>
            <family val="2"/>
          </rPr>
          <t>Diferencia entre las Ventas y Costes Variables (o Costes de Ventas), de cada familia.</t>
        </r>
      </text>
    </comment>
    <comment ref="AB115" authorId="1" shapeId="0">
      <text>
        <r>
          <rPr>
            <sz val="10"/>
            <color indexed="81"/>
            <rFont val="Tahoma"/>
            <family val="2"/>
          </rPr>
          <t>Margen de cada familia sobre el Total Ventas de cada familia (en %).</t>
        </r>
      </text>
    </comment>
    <comment ref="AC115" authorId="1" shapeId="0">
      <text>
        <r>
          <rPr>
            <sz val="10"/>
            <color indexed="81"/>
            <rFont val="Tahoma"/>
            <family val="2"/>
          </rPr>
          <t>Margen de cada familia sobre el Margen Total anual (en %).</t>
        </r>
      </text>
    </comment>
  </commentList>
</comments>
</file>

<file path=xl/comments3.xml><?xml version="1.0" encoding="utf-8"?>
<comments xmlns="http://schemas.openxmlformats.org/spreadsheetml/2006/main">
  <authors>
    <author>senta</author>
    <author>Maria Vicenta Perez</author>
    <author>Manuel Núñez Bonilla</author>
  </authors>
  <commentList>
    <comment ref="A25" authorId="0" shapeId="0">
      <text>
        <r>
          <rPr>
            <sz val="12"/>
            <color indexed="81"/>
            <rFont val="Tahoma"/>
            <family val="2"/>
          </rPr>
          <t>En esta fila se reflejan los Importes de las Compras que se vayan realizando cada mes.
A. Cuando  las compras se realicen de forma continua de manera que se reponga lo que se prevee consumir, no es necesario modificar los importes de esta fila, puesto que Total de Costes Directos Variables y Compras del Periodo coincidirán.
B. Si las compras no se realizan por reposición, si que habrá que modificar los importes de esta fila, y reflejar los importes adecuados de Compras en los meses que se prevea.</t>
        </r>
        <r>
          <rPr>
            <sz val="10"/>
            <color indexed="81"/>
            <rFont val="Tahoma"/>
            <family val="2"/>
          </rPr>
          <t xml:space="preserve"> En este caso:
- Tener en cuenta que,  los importes a reflejar por compras, temporales o especulativas, que se realicen de forma puntual en uno o varios meses, nunca podrán ser inferiores a la suma del Total Costes Directos Variables de los meses comprendidos entre la última compra y la actual, menos las existencias iniciales -.
- Si se refleja un importe de compras menor que el necesario, aparecerá un stock final negativo, lo cual hay que corregir.</t>
        </r>
      </text>
    </comment>
    <comment ref="A33" authorId="1" shapeId="0">
      <text>
        <r>
          <rPr>
            <sz val="10"/>
            <color indexed="81"/>
            <rFont val="Tahoma"/>
            <family val="2"/>
          </rPr>
          <t>Entre Otros Costes Directos Variables, podemos destacar: Transporte sobre Ventas, Comisiones sobre Ventas, etc</t>
        </r>
      </text>
    </comment>
    <comment ref="C35" authorId="1" shapeId="0">
      <text>
        <r>
          <rPr>
            <sz val="10"/>
            <color indexed="81"/>
            <rFont val="Tahoma"/>
            <family val="2"/>
          </rPr>
          <t>Los porcentajes de las celdas de abajo, que podéis modificar, afectan al total de las Ventas.</t>
        </r>
        <r>
          <rPr>
            <sz val="9"/>
            <color indexed="81"/>
            <rFont val="Tahoma"/>
            <family val="2"/>
          </rPr>
          <t xml:space="preserve">
</t>
        </r>
      </text>
    </comment>
    <comment ref="G52" authorId="0" shapeId="0">
      <text>
        <r>
          <rPr>
            <sz val="10"/>
            <color indexed="81"/>
            <rFont val="Tahoma"/>
            <family val="2"/>
          </rPr>
          <t xml:space="preserve">Entre las celdas siguientes hay que reflejar la distribución de los Pagos por Compras y/o Costes Directos Variables en forma de porcentaje sobre 100, de manera que la suma de los mismos debe ser el 100% </t>
        </r>
      </text>
    </comment>
    <comment ref="AB52" authorId="0" shapeId="0">
      <text>
        <r>
          <rPr>
            <sz val="10"/>
            <color indexed="81"/>
            <rFont val="Tahoma"/>
            <family val="2"/>
          </rPr>
          <t xml:space="preserve">Entre las celdas siguientes hay que reflejar la distribución de los Pagos por Compras y/o Costes Directos Variables en forma de porcentaje sobre 100, de manera que la suma de los mismos debe ser el 100% </t>
        </r>
      </text>
    </comment>
    <comment ref="B80" authorId="2" shapeId="0">
      <text>
        <r>
          <rPr>
            <sz val="11"/>
            <color indexed="81"/>
            <rFont val="Tahoma"/>
            <family val="2"/>
          </rPr>
          <t>Si esta celda está en rojo, es porque la suma de las celdas siguientes no saldan el importe pendiente de pago por este concepto</t>
        </r>
      </text>
    </comment>
    <comment ref="U80" authorId="2" shapeId="0">
      <text>
        <r>
          <rPr>
            <sz val="11"/>
            <color indexed="81"/>
            <rFont val="Tahoma"/>
            <family val="2"/>
          </rPr>
          <t>Si esta celda está en rojo, es porque la suma de las celdas siguientes no saldan el importe pendiente de pago por este concepto</t>
        </r>
      </text>
    </comment>
    <comment ref="B81" authorId="2" shapeId="0">
      <text>
        <r>
          <rPr>
            <sz val="11"/>
            <color indexed="81"/>
            <rFont val="Tahoma"/>
            <family val="2"/>
          </rPr>
          <t>Si esta celda está en rojo, es porque la suma de las celdas siguientes no saldan el importe pendiente de pago por este concepto</t>
        </r>
      </text>
    </comment>
    <comment ref="U81" authorId="2" shapeId="0">
      <text>
        <r>
          <rPr>
            <sz val="11"/>
            <color indexed="81"/>
            <rFont val="Tahoma"/>
            <family val="2"/>
          </rPr>
          <t>Si esta celda está en rojo, es porque la suma de las celdas siguientes no saldan el importe pendiente de pago por este concepto</t>
        </r>
      </text>
    </comment>
    <comment ref="B82" authorId="2" shapeId="0">
      <text>
        <r>
          <rPr>
            <sz val="11"/>
            <color indexed="81"/>
            <rFont val="Tahoma"/>
            <family val="2"/>
          </rPr>
          <t>Si esta celda está en rojo, es porque la suma de las celdas siguientes no saldan el importe pendiente de pago por este concepto</t>
        </r>
      </text>
    </comment>
    <comment ref="U82" authorId="2" shapeId="0">
      <text>
        <r>
          <rPr>
            <sz val="11"/>
            <color indexed="81"/>
            <rFont val="Tahoma"/>
            <family val="2"/>
          </rPr>
          <t>Si esta celda está en rojo, es porque la suma de las celdas siguientes no saldan el importe pendiente de pago por este concepto</t>
        </r>
      </text>
    </comment>
  </commentList>
</comments>
</file>

<file path=xl/comments4.xml><?xml version="1.0" encoding="utf-8"?>
<comments xmlns="http://schemas.openxmlformats.org/spreadsheetml/2006/main">
  <authors>
    <author>Maria Vicenta Perez</author>
    <author>M Vicenta Perez Silvestre</author>
    <author>alejandro magnet</author>
  </authors>
  <commentList>
    <comment ref="C6" authorId="0" shapeId="0">
      <text>
        <r>
          <rPr>
            <sz val="11"/>
            <color indexed="81"/>
            <rFont val="Tahoma"/>
            <family val="2"/>
          </rPr>
          <t>Si se refleja un % sobre el total de ventas en estas celdas, los importes del gastos mensuales referentes a estos conceptos se calcularán automáticamente en las celdas de la fila en cuestión.</t>
        </r>
        <r>
          <rPr>
            <sz val="10"/>
            <color indexed="81"/>
            <rFont val="Tahoma"/>
            <family val="2"/>
          </rPr>
          <t xml:space="preserve">
</t>
        </r>
        <r>
          <rPr>
            <sz val="9"/>
            <color indexed="81"/>
            <rFont val="Tahoma"/>
            <family val="2"/>
          </rPr>
          <t xml:space="preserve">
</t>
        </r>
      </text>
    </comment>
    <comment ref="U7" authorId="1" shapeId="0">
      <text>
        <r>
          <rPr>
            <sz val="11"/>
            <color indexed="81"/>
            <rFont val="Calibri"/>
            <family val="2"/>
            <scheme val="minor"/>
          </rPr>
          <t>Porcentaje sobre Ventas</t>
        </r>
      </text>
    </comment>
    <comment ref="U8" authorId="1" shapeId="0">
      <text>
        <r>
          <rPr>
            <sz val="11"/>
            <color indexed="81"/>
            <rFont val="Calibri"/>
            <family val="2"/>
            <scheme val="minor"/>
          </rPr>
          <t>Porcentaje sobre Ventas</t>
        </r>
      </text>
    </comment>
    <comment ref="A9" authorId="1" shapeId="0">
      <text>
        <r>
          <rPr>
            <sz val="11"/>
            <color indexed="81"/>
            <rFont val="Tahoma"/>
            <family val="2"/>
          </rPr>
          <t>Si desconoce la estimación del porcentaje sobre ventas que puede soportar por este tipo de gastos, pero si conoce las cantidades fijas que estima pagar todos los meses, deje en 0%  las celdas anteriores y escriba los importes concretos (sin IVA) en las celdas de esta fila</t>
        </r>
      </text>
    </comment>
    <comment ref="V9" authorId="1" shapeId="0">
      <text>
        <r>
          <rPr>
            <sz val="11"/>
            <color indexed="81"/>
            <rFont val="Calibri"/>
            <family val="2"/>
            <scheme val="minor"/>
          </rPr>
          <t>Puede, si utiliza el %, incrementar o disminuir en relación al mes del año anterior. O, puede reflejar importes estimados concretos (sin IVA) en el/los mes/es que estime soportarlos (escribirlos en las celdas W a AH de esta fila)</t>
        </r>
      </text>
    </comment>
    <comment ref="A10" authorId="1" shapeId="0">
      <text>
        <r>
          <rPr>
            <sz val="11"/>
            <color indexed="81"/>
            <rFont val="Tahoma"/>
            <family val="2"/>
          </rPr>
          <t>Los importes de esta fila se trasladan a  la hoja 4 (Gastos de Explotación)</t>
        </r>
      </text>
    </comment>
    <comment ref="A20" authorId="2" shapeId="0">
      <text>
        <r>
          <rPr>
            <sz val="11"/>
            <color indexed="81"/>
            <rFont val="Tahoma"/>
            <family val="2"/>
          </rPr>
          <t xml:space="preserve">En las celdas de esta fila hay que escribir el número de clientes nuevos que se estima captar cada mes, no los pedidos que se estiman facturar cada mes.
Por lo tanto,  no confundir clientes nuevos captados cada mes con pedidos del mes, ya que, por ejemplo, un cliente nuevo captado en abril puedo seguir haciendo pedidos a lo a largo de los siguientes meses.
Es por lo que no hay que confundir, los pedidos reflejados en el cuadro de "previción de ventas" (hoja 2) con los clientes nuevos que estimamos adquirir cada mes y que debemos reflejar en las celdas de esta fila.
</t>
        </r>
        <r>
          <rPr>
            <sz val="9"/>
            <color indexed="81"/>
            <rFont val="Tahoma"/>
            <family val="2"/>
          </rPr>
          <t xml:space="preserve">
</t>
        </r>
      </text>
    </comment>
    <comment ref="A21" authorId="2" shapeId="0">
      <text>
        <r>
          <rPr>
            <sz val="9"/>
            <color indexed="81"/>
            <rFont val="Tahoma"/>
            <family val="2"/>
          </rPr>
          <t xml:space="preserve">Informa del gasto realizado en Marketing cada mes, por el número de clientes que la empresa tiene ese mes.
</t>
        </r>
      </text>
    </comment>
    <comment ref="A23" authorId="1" shapeId="0">
      <text>
        <r>
          <rPr>
            <sz val="11"/>
            <color indexed="81"/>
            <rFont val="Calibri"/>
            <family val="2"/>
            <scheme val="minor"/>
          </rPr>
          <t>Se acumula el coste de Mk respecto al 1º mes</t>
        </r>
      </text>
    </comment>
    <comment ref="D28" authorId="1" shapeId="0">
      <text>
        <r>
          <rPr>
            <sz val="11"/>
            <color indexed="81"/>
            <rFont val="Tahoma"/>
            <family val="2"/>
          </rPr>
          <t>CAC (Coste de Adquisición del Cliente): lo que cuesta adquirir un nuevo cliente.
Formula: Coste Mk y Comunicación total de un periodo / Clientes nuevos adquiridos en ese periodo</t>
        </r>
      </text>
    </comment>
    <comment ref="W28" authorId="1" shapeId="0">
      <text>
        <r>
          <rPr>
            <sz val="11"/>
            <color indexed="81"/>
            <rFont val="Tahoma"/>
            <family val="2"/>
          </rPr>
          <t>CAC (Coste de Adquisición del Cliente): lo que cuesta adquirir un nuevo cliente.
Formula: Coste Mk y Comunicación total de un periodo / Clientes nuevos adquiridos en ese periodo</t>
        </r>
      </text>
    </comment>
    <comment ref="D30" authorId="1" shapeId="0">
      <text>
        <r>
          <rPr>
            <sz val="11"/>
            <color indexed="81"/>
            <rFont val="Tahoma"/>
            <family val="2"/>
          </rPr>
          <t>Precio de Venta Promedio (TP) = (Facturación Anual / Nº Uds Vendidas Año)</t>
        </r>
      </text>
    </comment>
    <comment ref="W30" authorId="1" shapeId="0">
      <text>
        <r>
          <rPr>
            <sz val="11"/>
            <color indexed="81"/>
            <rFont val="Tahoma"/>
            <family val="2"/>
          </rPr>
          <t>Precio de Venta Promedio (TP) = (Facturación Anual / Nº Uds Vendidas Año)</t>
        </r>
      </text>
    </comment>
    <comment ref="I38" authorId="1" shapeId="0">
      <text>
        <r>
          <rPr>
            <sz val="10"/>
            <color indexed="81"/>
            <rFont val="Tahoma"/>
            <family val="2"/>
          </rPr>
          <t>Número de Recurrencia en la Compra que tienen los Clientes, es decir, Nº de veces de media que compran los clientes.
La Recurrencia depende de cada Negocio y puede diferir de uno a otro.</t>
        </r>
      </text>
    </comment>
    <comment ref="J38" authorId="2" shapeId="0">
      <text>
        <r>
          <rPr>
            <sz val="9"/>
            <color indexed="81"/>
            <rFont val="Tahoma"/>
            <family val="2"/>
          </rPr>
          <t>Reflejar el número de recurrencia de venta por cliente
Este número dependera del tipo de negocio.</t>
        </r>
      </text>
    </comment>
    <comment ref="AB38" authorId="1" shapeId="0">
      <text>
        <r>
          <rPr>
            <sz val="9"/>
            <color indexed="81"/>
            <rFont val="Tahoma"/>
            <family val="2"/>
          </rPr>
          <t>Número de Recurrencia en la Compra que tienen los Clientes, es decir, Nº de veces de media que compran los clientes.
La Recurrencia depende de cada Negocio y puede diferir de uno a otro.</t>
        </r>
      </text>
    </comment>
    <comment ref="AC38" authorId="2" shapeId="0">
      <text>
        <r>
          <rPr>
            <sz val="9"/>
            <color indexed="81"/>
            <rFont val="Tahoma"/>
            <family val="2"/>
          </rPr>
          <t>Reflejar el número de recurrencia de venta por cliente
Este número dependera del tipo de negocio.</t>
        </r>
      </text>
    </comment>
    <comment ref="I40" authorId="1" shapeId="0">
      <text>
        <r>
          <rPr>
            <sz val="9"/>
            <color indexed="81"/>
            <rFont val="Tahoma"/>
            <family val="2"/>
          </rPr>
          <t>Años que se espera que el Cliente tenga relación  con nuestra empresa.</t>
        </r>
      </text>
    </comment>
    <comment ref="J40" authorId="2" shapeId="0">
      <text>
        <r>
          <rPr>
            <sz val="9"/>
            <color indexed="81"/>
            <rFont val="Tahoma"/>
            <family val="2"/>
          </rPr>
          <t>Indicar el número de años en que el cliente tiene relación con nuestra empresa.</t>
        </r>
      </text>
    </comment>
    <comment ref="AB40" authorId="1" shapeId="0">
      <text>
        <r>
          <rPr>
            <sz val="9"/>
            <color indexed="81"/>
            <rFont val="Tahoma"/>
            <family val="2"/>
          </rPr>
          <t>Años que se espera que el Cliente tenga relación  con nuestra empresa.</t>
        </r>
      </text>
    </comment>
    <comment ref="AC40" authorId="2" shapeId="0">
      <text>
        <r>
          <rPr>
            <sz val="9"/>
            <color indexed="81"/>
            <rFont val="Tahoma"/>
            <family val="2"/>
          </rPr>
          <t>Indicar el número de años en que el cliente tiene relación con nuestra empresa.</t>
        </r>
      </text>
    </comment>
    <comment ref="D42" authorId="1" shapeId="0">
      <text>
        <r>
          <rPr>
            <sz val="11"/>
            <color indexed="81"/>
            <rFont val="Tahoma"/>
            <family val="2"/>
          </rPr>
          <t>LTV (Life Time Value) (Valor del Cliente en su vida útil): lo que nos da de beneficio un cliente durante su relación con la empresa.
Formula: Precio Venta Promedio (TP), por las veces que compra (RA), por el número de años de relación con la empresa (VC), y por el % de Margén Bruto(MB)</t>
        </r>
      </text>
    </comment>
    <comment ref="E42" authorId="1" shapeId="0">
      <text>
        <r>
          <rPr>
            <b/>
            <sz val="10"/>
            <color indexed="81"/>
            <rFont val="Tahoma"/>
            <family val="2"/>
          </rPr>
          <t xml:space="preserve">¡ Atención ¡ 
</t>
        </r>
        <r>
          <rPr>
            <sz val="10"/>
            <color indexed="81"/>
            <rFont val="Tahoma"/>
            <family val="2"/>
          </rPr>
          <t>Para que este dato sea significativo,</t>
        </r>
        <r>
          <rPr>
            <b/>
            <sz val="10"/>
            <color indexed="81"/>
            <rFont val="Tahoma"/>
            <family val="2"/>
          </rPr>
          <t xml:space="preserve"> las</t>
        </r>
        <r>
          <rPr>
            <sz val="10"/>
            <color indexed="81"/>
            <rFont val="Tahoma"/>
            <family val="2"/>
          </rPr>
          <t xml:space="preserve"> </t>
        </r>
        <r>
          <rPr>
            <b/>
            <sz val="10"/>
            <color indexed="81"/>
            <rFont val="Tahoma"/>
            <family val="2"/>
          </rPr>
          <t>medidas de referencia reflejadas en la hoja 1, para todas las familias de productos / servicios, deben estar determinadas en unidades físicas y ser homogéneas</t>
        </r>
        <r>
          <rPr>
            <sz val="10"/>
            <color indexed="81"/>
            <rFont val="Tahoma"/>
            <family val="2"/>
          </rPr>
          <t>.</t>
        </r>
      </text>
    </comment>
    <comment ref="W42" authorId="1" shapeId="0">
      <text>
        <r>
          <rPr>
            <sz val="11"/>
            <color indexed="81"/>
            <rFont val="Tahoma"/>
            <family val="2"/>
          </rPr>
          <t>LTV (Life Time Value) (Valor del Cliente en su vida útil): lo que nos da de beneficio un cliente durante su relación con la empresa.
Formula: Precio Venta Promedio (TP), por las veces que compra (RA), por el número de años de relación con la empresa (VC), y por el % de Margén Bruto(MB)</t>
        </r>
      </text>
    </comment>
    <comment ref="X42" authorId="1" shapeId="0">
      <text>
        <r>
          <rPr>
            <b/>
            <sz val="11"/>
            <color indexed="81"/>
            <rFont val="Tahoma"/>
            <family val="2"/>
          </rPr>
          <t xml:space="preserve">¡ Atención ¡ 
</t>
        </r>
        <r>
          <rPr>
            <sz val="11"/>
            <color indexed="81"/>
            <rFont val="Tahoma"/>
            <family val="2"/>
          </rPr>
          <t>Para que este dato sea significativo,</t>
        </r>
        <r>
          <rPr>
            <b/>
            <sz val="11"/>
            <color indexed="81"/>
            <rFont val="Tahoma"/>
            <family val="2"/>
          </rPr>
          <t xml:space="preserve"> las medidas de referencia reflejadas en la hoja 1, para todas las familias de productos / servicios, deben estar determinadas en unidades físicas y ser homogéneas.</t>
        </r>
      </text>
    </comment>
    <comment ref="O52" authorId="1" shapeId="0">
      <text>
        <r>
          <rPr>
            <sz val="8"/>
            <color indexed="81"/>
            <rFont val="Tahoma"/>
            <family val="2"/>
          </rPr>
          <t xml:space="preserve">LTV (Life Time Value)  (Rentabilidad que da cada Cliente): dinero que gasta cada cliente durante el ciclo de vida útil de dicho cliente.
Formula: Margen Bruto por Pedido x Nº de veces que los Clientes Compran de Media durante su vida útil. </t>
        </r>
      </text>
    </comment>
    <comment ref="AH52" authorId="1" shapeId="0">
      <text>
        <r>
          <rPr>
            <sz val="8"/>
            <color indexed="81"/>
            <rFont val="Tahoma"/>
            <family val="2"/>
          </rPr>
          <t xml:space="preserve">LTV (Life Time Value)  (Rentabilidad que da cada Cliente): dinero que gasta cada cliente durante el ciclo de vida útil de dicho cliente.
Formula: Margen Bruto por Pedido x Nº de veces que los Clientes Compran de Media durante su vida útil. </t>
        </r>
      </text>
    </comment>
    <comment ref="H54" authorId="1" shapeId="0">
      <text>
        <r>
          <rPr>
            <sz val="8"/>
            <color indexed="81"/>
            <rFont val="Tahoma"/>
            <family val="2"/>
          </rPr>
          <t>Número de Recurrencia en la Compra que tienen los Clientes, es decir, Nº de veces de media que compran los clientes.
La Recurrencia depende de cada Negocio y puede diferir de uno a otro.</t>
        </r>
      </text>
    </comment>
    <comment ref="O54" authorId="1" shapeId="0">
      <text>
        <r>
          <rPr>
            <sz val="8"/>
            <color indexed="81"/>
            <rFont val="Tahoma"/>
            <family val="2"/>
          </rPr>
          <t>CAC (Coste de Adquisición del Cliente): lo que cuesta adquirir un nuevo cliente.
Formula: Coste Mk total de un periodo / Clientes nuevos adquiridos en ese periodo</t>
        </r>
      </text>
    </comment>
    <comment ref="AA54" authorId="1" shapeId="0">
      <text>
        <r>
          <rPr>
            <sz val="8"/>
            <color indexed="81"/>
            <rFont val="Tahoma"/>
            <family val="2"/>
          </rPr>
          <t>Número de Recurrencia en la Compra que tienen los Clientes, es decir, Nº de veces de media que compran los clientes.
La Recurrencia depende de cada Negocio y puede diferir de uno a otro.</t>
        </r>
      </text>
    </comment>
    <comment ref="AH54" authorId="1" shapeId="0">
      <text>
        <r>
          <rPr>
            <sz val="8"/>
            <color indexed="81"/>
            <rFont val="Tahoma"/>
            <family val="2"/>
          </rPr>
          <t>CAC (Coste de Adquisición del Cliente): lo que cuesta adquirir un nuevo cliente.
Formula: Coste Mk total de un periodo / Clientes nuevos adquiridos en ese periodo</t>
        </r>
      </text>
    </comment>
    <comment ref="H55" authorId="1" shapeId="0">
      <text>
        <r>
          <rPr>
            <sz val="8"/>
            <color indexed="81"/>
            <rFont val="Tahoma"/>
            <family val="2"/>
          </rPr>
          <t>Años que se espera que el Cliente compre en nuestra empresa.</t>
        </r>
      </text>
    </comment>
    <comment ref="AA55" authorId="1" shapeId="0">
      <text>
        <r>
          <rPr>
            <sz val="8"/>
            <color indexed="81"/>
            <rFont val="Tahoma"/>
            <family val="2"/>
          </rPr>
          <t>Años que se espera que el Cliente compre en nuestra empresa.</t>
        </r>
      </text>
    </comment>
    <comment ref="H56" authorId="1" shapeId="0">
      <text>
        <r>
          <rPr>
            <sz val="8"/>
            <color indexed="81"/>
            <rFont val="Tahoma"/>
            <family val="2"/>
          </rPr>
          <t xml:space="preserve">El Margen Burto Total a reflejar para calcular el LTV, no tiene en cuenta los Gastos de Marketing, ni por supuesto, los Costes Fijos.
</t>
        </r>
      </text>
    </comment>
    <comment ref="AA56" authorId="1" shapeId="0">
      <text>
        <r>
          <rPr>
            <sz val="8"/>
            <color indexed="81"/>
            <rFont val="Tahoma"/>
            <family val="2"/>
          </rPr>
          <t xml:space="preserve">El Margen Burto Total a reflejar para calcular el LTV, no tiene en cuenta los Gastos de Marketing, ni por supuesto, los Costes Fijos.
</t>
        </r>
      </text>
    </comment>
  </commentList>
</comments>
</file>

<file path=xl/comments5.xml><?xml version="1.0" encoding="utf-8"?>
<comments xmlns="http://schemas.openxmlformats.org/spreadsheetml/2006/main">
  <authors>
    <author>Maria Vicenta Perez</author>
    <author>M Vicenta Perez Silvestre</author>
    <author>senta</author>
    <author>Manuel Núñez Bonilla</author>
    <author>alejandro magnet</author>
  </authors>
  <commentList>
    <comment ref="A6" authorId="0" shapeId="0">
      <text>
        <r>
          <rPr>
            <sz val="11"/>
            <color indexed="81"/>
            <rFont val="Calibri"/>
            <family val="2"/>
            <scheme val="minor"/>
          </rPr>
          <t>Sueldos y Salarios es una de las partidas de mayor importancia dentro de los Gastos de Explotación.
Aunque parte de los mismos pueden considerarse como Costes D. Variables (mano de obra directa), nosotros consideraremos todos como gastos fijos, independientemente del volumen de actividad</t>
        </r>
        <r>
          <rPr>
            <sz val="10"/>
            <color indexed="81"/>
            <rFont val="Tahoma"/>
            <family val="2"/>
          </rPr>
          <t xml:space="preserve">
</t>
        </r>
        <r>
          <rPr>
            <sz val="9"/>
            <color indexed="81"/>
            <rFont val="Tahoma"/>
            <family val="2"/>
          </rPr>
          <t xml:space="preserve">
</t>
        </r>
      </text>
    </comment>
    <comment ref="A9" authorId="0" shapeId="0">
      <text>
        <r>
          <rPr>
            <sz val="10"/>
            <color indexed="81"/>
            <rFont val="Tahoma"/>
            <family val="2"/>
          </rPr>
          <t>Escribir en las celdas de esta columna, los nombres y/o categorias de los socios trabajadores y/o empleados.</t>
        </r>
      </text>
    </comment>
    <comment ref="C9" authorId="0" shapeId="0">
      <text>
        <r>
          <rPr>
            <sz val="10"/>
            <color indexed="81"/>
            <rFont val="Tahoma"/>
            <family val="2"/>
          </rPr>
          <t>Sólo reflejar los Sueldos Brutos Anuales de los socios y empleados que se prevea trabajen para la empresa desde el 1º ejercicio económico.</t>
        </r>
      </text>
    </comment>
    <comment ref="D9" authorId="0" shapeId="0">
      <text>
        <r>
          <rPr>
            <sz val="10"/>
            <color indexed="81"/>
            <rFont val="Tahoma"/>
            <family val="2"/>
          </rPr>
          <t>Los porcentajes de esta columna se pueden modificar.</t>
        </r>
      </text>
    </comment>
    <comment ref="F9" authorId="0" shapeId="0">
      <text>
        <r>
          <rPr>
            <sz val="10"/>
            <color indexed="81"/>
            <rFont val="Tahoma"/>
            <family val="2"/>
          </rPr>
          <t>Corresponde a la aportación del trabajador a la Seg Social.</t>
        </r>
      </text>
    </comment>
    <comment ref="H9" authorId="0" shapeId="0">
      <text>
        <r>
          <rPr>
            <sz val="10"/>
            <color indexed="81"/>
            <rFont val="Tahoma"/>
            <family val="2"/>
          </rPr>
          <t>Corresponde a la Aportación de la empresa a la Seg. Social, o Cuota Patronal.</t>
        </r>
      </text>
    </comment>
    <comment ref="I9" authorId="1" shapeId="0">
      <text>
        <r>
          <rPr>
            <b/>
            <sz val="10"/>
            <color indexed="81"/>
            <rFont val="Tahoma"/>
            <family val="2"/>
          </rPr>
          <t xml:space="preserve">RETA: 
</t>
        </r>
        <r>
          <rPr>
            <sz val="10"/>
            <color indexed="81"/>
            <rFont val="Tahoma"/>
            <family val="2"/>
          </rPr>
          <t xml:space="preserve">Régimen Especial de Trabajadores </t>
        </r>
        <r>
          <rPr>
            <b/>
            <sz val="10"/>
            <color indexed="81"/>
            <rFont val="Tahoma"/>
            <family val="2"/>
          </rPr>
          <t>AUTÓNOMOS</t>
        </r>
      </text>
    </comment>
    <comment ref="J9" authorId="0" shapeId="0">
      <text>
        <r>
          <rPr>
            <sz val="10"/>
            <color indexed="81"/>
            <rFont val="Tahoma"/>
            <family val="2"/>
          </rPr>
          <t>Sólo reflejar Otros Gastos Sociales Anuales de los socios y empleados que se prevea trabajen para la empresa durante el 1º ejercicio económico.
Ejemplo: mantenimiento o subvenciones a economatos y comedores, contribuciones al sostenimiento de escuelas e instituciones de formación profesional, becas para estudios, cursos de reciclaje, primas por contratos de seguros sobre la vida, accidentes, enfermedad, etc.</t>
        </r>
      </text>
    </comment>
    <comment ref="AE9" authorId="2" shapeId="0">
      <text>
        <r>
          <rPr>
            <sz val="10"/>
            <color indexed="81"/>
            <rFont val="Tahoma"/>
            <family val="2"/>
          </rPr>
          <t>Debe reflejar  el % de incremento, o decremento, respecto al ejercicio anterior.
Si el Total Coste Empresa Anual del ejercicio Anterior es distinto de cero, estas celdas aparecerán con el fondo de color rojo. Esto le indicará que debe escribir el % de variación mencionado. 
Poner 0% es válido.</t>
        </r>
      </text>
    </comment>
    <comment ref="AF9" authorId="2" shapeId="0">
      <text>
        <r>
          <rPr>
            <sz val="10"/>
            <color indexed="81"/>
            <rFont val="Tahoma"/>
            <family val="2"/>
          </rPr>
          <t>Si en el 2º ejercicio económico algún socio y/o nuevo empleado se incorpora a la plantilla de la empresa, deberá introducirse, de forma manual, el importe del Salario Bruto Anual en la celda que le corresponda de esta columna.
Si alguno/s se da/n de baja, escribir cero en la ceda del socio y/o trabajador correspondiente.</t>
        </r>
      </text>
    </comment>
    <comment ref="AG9" authorId="0" shapeId="0">
      <text>
        <r>
          <rPr>
            <sz val="10"/>
            <color indexed="81"/>
            <rFont val="Tahoma"/>
            <family val="2"/>
          </rPr>
          <t>Los porcentajes de esta columna se pueden modificar.</t>
        </r>
      </text>
    </comment>
    <comment ref="AJ9" authorId="0" shapeId="0">
      <text>
        <r>
          <rPr>
            <sz val="10"/>
            <color indexed="81"/>
            <rFont val="Tahoma"/>
            <family val="2"/>
          </rPr>
          <t>Corresponde a la Aportación de la empresa a la Seg. Social, o Cuota Patronal.</t>
        </r>
      </text>
    </comment>
    <comment ref="AK9" authorId="2" shapeId="0">
      <text>
        <r>
          <rPr>
            <sz val="10"/>
            <color indexed="81"/>
            <rFont val="Tahoma"/>
            <family val="2"/>
          </rPr>
          <t xml:space="preserve">Corresponde al % de variación, respecto al ejercicio anterior, del RETA y de la Seguridad Social a cargo de la empresa.
Se ha dejado predeterminado un % que se puede modifiar.  Cambiar a 0% es válido.
</t>
        </r>
      </text>
    </comment>
    <comment ref="AM9" authorId="0" shapeId="0">
      <text>
        <r>
          <rPr>
            <sz val="10"/>
            <color indexed="81"/>
            <rFont val="Tahoma"/>
            <family val="2"/>
          </rPr>
          <t>Sólo reflejar Otros Gastos Sociales Anuales de los socios y empleados que se prevea trabajen para la empresa durante el 2º ejercicio económico.
Como por ejemplo: mantenimiento o subvenciones a economatos y comedores, contribuciones al sostenimiento de escuelas e instituciones de formación profesional, becas para estudios, cursos de reciclaje, primas por contratos de seguros sobre la vida, accidentes, enfermedad, etc.</t>
        </r>
      </text>
    </comment>
    <comment ref="BH9" authorId="2" shapeId="0">
      <text>
        <r>
          <rPr>
            <sz val="10"/>
            <color indexed="81"/>
            <rFont val="Tahoma"/>
            <family val="2"/>
          </rPr>
          <t>Debe reflejar  el % de incremento, o decremento, respecto al ejercicio anterior.
Si el Total Coste Empresa Anual del ejercicio Anterior es distinto de cero, estas celdas aparecerán con el fondo de color rojo. Esto le indicará que debe escribir el % de variación mencionado. 
Poner 0% es válido.</t>
        </r>
      </text>
    </comment>
    <comment ref="BI9" authorId="2" shapeId="0">
      <text>
        <r>
          <rPr>
            <sz val="10"/>
            <color indexed="81"/>
            <rFont val="Tahoma"/>
            <family val="2"/>
          </rPr>
          <t>Si en el 3º ejercicio económico algún socio y/o nuevo empleado se incorpora a la plantilla de la empresa, deberá introducirse, de forma manual, el importe del Salario Bruto Anual en la celda que le corresponda de esta columna.
Si alguno/s se da/n de baja, escribir cero en la ceda del socio y/o trabajador correspondiente.</t>
        </r>
      </text>
    </comment>
    <comment ref="BJ9" authorId="0" shapeId="0">
      <text>
        <r>
          <rPr>
            <sz val="10"/>
            <color indexed="81"/>
            <rFont val="Tahoma"/>
            <family val="2"/>
          </rPr>
          <t>Corresponde a la Aportación de la empresa a la Seg. Social, o Cuota Patronal.</t>
        </r>
      </text>
    </comment>
    <comment ref="BK9" authorId="2" shapeId="0">
      <text>
        <r>
          <rPr>
            <sz val="10"/>
            <color indexed="81"/>
            <rFont val="Tahoma"/>
            <family val="2"/>
          </rPr>
          <t xml:space="preserve">Corresponde al % de variación, respecto al ejercicio anterior, del RETA y de la Seguridad Social a cargo de la empresa.
Se ha dejado predeterminado un % que se puede modifiar.  Cambiar a 0% es válido.
</t>
        </r>
      </text>
    </comment>
    <comment ref="BM9" authorId="0" shapeId="0">
      <text>
        <r>
          <rPr>
            <sz val="10"/>
            <color indexed="81"/>
            <rFont val="Tahoma"/>
            <family val="2"/>
          </rPr>
          <t>Sólo reflejar Otros Gastos Sociales Anuales de los socios y empleados que se prevea trabajen para la empresa durante el 3º ejercicio económico.
Como por ejemplo: mantenimiento o subvenciones a economatos y comedores, contribuciones al sostenimiento de escuelas e instituciones de formación profesional, becas para estudios, cursos de reciclaje, primas por contratos de seguros sobre la vida, accidentes, enfermedad, etc.</t>
        </r>
      </text>
    </comment>
    <comment ref="BP9" authorId="2" shapeId="0">
      <text>
        <r>
          <rPr>
            <sz val="10"/>
            <color indexed="81"/>
            <rFont val="Tahoma"/>
            <family val="2"/>
          </rPr>
          <t>Debe reflejar  el % de incremento, o decremento, respecto al ejercicio anterior.
Si el Total Coste Empresa Anual del ejercicio Anterior es distinto de cero, estas celdas aparecerán con el fondo de color rojo. Esto le indicará que debe escribir el % de variación mencionado. 
Poner 0% es válido.</t>
        </r>
      </text>
    </comment>
    <comment ref="BQ9" authorId="2" shapeId="0">
      <text>
        <r>
          <rPr>
            <sz val="10"/>
            <color indexed="81"/>
            <rFont val="Tahoma"/>
            <family val="2"/>
          </rPr>
          <t>Si en el 4º ejercicio económico algún socio y/o nuevo empleado se incorpora a la plantilla de la empresa, deberá introducirse, de forma manual, el importe del Salario Bruto Anual en la celda que le corresponda de esta columna.
Si alguno/s se da/n de baja, escribir cero en la ceda del socio y/o trabajador correspondiente.</t>
        </r>
      </text>
    </comment>
    <comment ref="BR9" authorId="0" shapeId="0">
      <text>
        <r>
          <rPr>
            <sz val="10"/>
            <color indexed="81"/>
            <rFont val="Tahoma"/>
            <family val="2"/>
          </rPr>
          <t>Corresponde a la Aportación de la empresa a la Seg. Social, o Cuota Patronal.</t>
        </r>
      </text>
    </comment>
    <comment ref="BS9" authorId="2" shapeId="0">
      <text>
        <r>
          <rPr>
            <sz val="10"/>
            <color indexed="81"/>
            <rFont val="Tahoma"/>
            <family val="2"/>
          </rPr>
          <t xml:space="preserve">Corresponde al % de variación, respecto al ejercicio anterior, del RETA y de la Seguridad Social a cargo de la empresa.
Se ha dejado predeterminado un % que se puede modifiar.  Cambiar a 0% es válido.
</t>
        </r>
      </text>
    </comment>
    <comment ref="BU9" authorId="0" shapeId="0">
      <text>
        <r>
          <rPr>
            <sz val="10"/>
            <color indexed="81"/>
            <rFont val="Tahoma"/>
            <family val="2"/>
          </rPr>
          <t>Sólo reflejar Otros Gastos Sociales Anuales de los socios y empleados que se prevea trabajen para la empresa durante el 4º ejercicio económico.
Como por ejemplo: mantenimiento o subvenciones a economatos y comedores, contribuciones al sostenimiento de escuelas e instituciones de formación profesional, becas para estudios, cursos de reciclaje, primas por contratos de seguros sobre la vida, accidentes, enfermedad, etc.</t>
        </r>
      </text>
    </comment>
    <comment ref="BX9" authorId="2" shapeId="0">
      <text>
        <r>
          <rPr>
            <sz val="10"/>
            <color indexed="81"/>
            <rFont val="Tahoma"/>
            <family val="2"/>
          </rPr>
          <t>Debe reflejar  el % de incremento, o decremento, respecto al ejercicio anterior.
Si el Total Coste Empresa Anual del ejercicio Anterior es distinto de cero, estas celdas aparecerán con el fondo de color rojo. Esto le indicará que debe escribir el % de variación mencionado. 
Poner 0% es válido.</t>
        </r>
      </text>
    </comment>
    <comment ref="BY9" authorId="2" shapeId="0">
      <text>
        <r>
          <rPr>
            <sz val="10"/>
            <color indexed="81"/>
            <rFont val="Tahoma"/>
            <family val="2"/>
          </rPr>
          <t>Si en el 5º ejercicio económico algún socio y/o nuevo empleado se incorpora a la plantilla de la empresa, deberá introducirse, de forma manual, el importe del Salario Bruto Anual en la celda que le corresponda de esta columna.
Si alguno/s se da/n de baja, escribir cero en la ceda del socio y/o trabajador correspondiente.</t>
        </r>
      </text>
    </comment>
    <comment ref="BZ9" authorId="0" shapeId="0">
      <text>
        <r>
          <rPr>
            <sz val="10"/>
            <color indexed="81"/>
            <rFont val="Tahoma"/>
            <family val="2"/>
          </rPr>
          <t>Corresponde a la Aportación de la empresa a la Seg. Social, o Cuota Patronal.</t>
        </r>
      </text>
    </comment>
    <comment ref="CA9" authorId="2" shapeId="0">
      <text>
        <r>
          <rPr>
            <sz val="10"/>
            <color indexed="81"/>
            <rFont val="Tahoma"/>
            <family val="2"/>
          </rPr>
          <t xml:space="preserve">Corresponde al % de variación, respecto al ejercicio anterior, del RETA y de la Seguridad Social a cargo de la empresa.
Se ha dejado predeterminado un % que se puede modifiar.  Cambiar a 0% es válido.
</t>
        </r>
      </text>
    </comment>
    <comment ref="CC9" authorId="0" shapeId="0">
      <text>
        <r>
          <rPr>
            <sz val="10"/>
            <color indexed="81"/>
            <rFont val="Tahoma"/>
            <family val="2"/>
          </rPr>
          <t>Sólo reflejar Otros Gastos Sociales Anuales de los socios y empleados que se prevea trabajen para la empresa durante el 5º ejercicio económico.
Como por ejemplo: mantenimiento o subvenciones a economatos y comedores, contribuciones al sostenimiento de escuelas e instituciones de formación profesional, becas para estudios, cursos de reciclaje, primas por contratos de seguros sobre la vida, accidentes, enfermedad, etc.</t>
        </r>
      </text>
    </comment>
    <comment ref="I10" authorId="3" shapeId="0">
      <text>
        <r>
          <rPr>
            <sz val="11"/>
            <color indexed="81"/>
            <rFont val="Tahoma"/>
            <family val="2"/>
          </rPr>
          <t>Cotización a la Seg. Social por el RETA, de aquellos socios trabajadores que deban estar integrados en el "Reg. Especial de Trabajadores por Cuenta Propia o Autónomos".
Comentario que también afecta a las celdas siguientes.</t>
        </r>
      </text>
    </comment>
    <comment ref="AK10" authorId="0" shapeId="0">
      <text>
        <r>
          <rPr>
            <sz val="10"/>
            <color indexed="81"/>
            <rFont val="Tahoma"/>
            <family val="2"/>
          </rPr>
          <t>Los porcentajes predeterminados de las celdas de esta columna, se pueden modificar.</t>
        </r>
      </text>
    </comment>
    <comment ref="BK10" authorId="0" shapeId="0">
      <text>
        <r>
          <rPr>
            <sz val="10"/>
            <color indexed="81"/>
            <rFont val="Tahoma"/>
            <family val="2"/>
          </rPr>
          <t>Los porcentajes predeterminados de las celdas de esta columna, se pueden modificar.</t>
        </r>
      </text>
    </comment>
    <comment ref="BS10" authorId="0" shapeId="0">
      <text>
        <r>
          <rPr>
            <sz val="10"/>
            <color indexed="81"/>
            <rFont val="Tahoma"/>
            <family val="2"/>
          </rPr>
          <t>Los porcentajes predeterminados de las celdas de esta columna, se pueden modificar.</t>
        </r>
      </text>
    </comment>
    <comment ref="CA10" authorId="0" shapeId="0">
      <text>
        <r>
          <rPr>
            <sz val="10"/>
            <color indexed="81"/>
            <rFont val="Tahoma"/>
            <family val="2"/>
          </rPr>
          <t>Los porcentajes predeterminados de las celdas de esta columna, se pueden modificar.</t>
        </r>
      </text>
    </comment>
    <comment ref="F15" authorId="0" shapeId="0">
      <text>
        <r>
          <rPr>
            <sz val="9"/>
            <color indexed="81"/>
            <rFont val="Tahoma"/>
            <family val="2"/>
          </rPr>
          <t>Los % que aparecen como predterminados en estas celdas, se pueden modificar.</t>
        </r>
      </text>
    </comment>
    <comment ref="H15" authorId="0" shapeId="0">
      <text>
        <r>
          <rPr>
            <sz val="10"/>
            <color indexed="81"/>
            <rFont val="Tahoma"/>
            <family val="2"/>
          </rPr>
          <t>Los porcentajes predeterminados de las celdas de esta columna se pueden modificar.</t>
        </r>
      </text>
    </comment>
    <comment ref="AJ15" authorId="0" shapeId="0">
      <text>
        <r>
          <rPr>
            <sz val="10"/>
            <color indexed="81"/>
            <rFont val="Tahoma"/>
            <family val="2"/>
          </rPr>
          <t>Si los porcentajes predeterminados, de las celdas de color verde de esta columna, no coinciden con los previstos y/o reales, podéis modificarlos.</t>
        </r>
      </text>
    </comment>
    <comment ref="AK15" authorId="0" shapeId="0">
      <text>
        <r>
          <rPr>
            <sz val="10"/>
            <color indexed="81"/>
            <rFont val="Tahoma"/>
            <family val="2"/>
          </rPr>
          <t>Los porcentajes predeterminados de las celdas de esta columna se pueden modificar.</t>
        </r>
      </text>
    </comment>
    <comment ref="BJ15" authorId="0" shapeId="0">
      <text>
        <r>
          <rPr>
            <sz val="10"/>
            <color indexed="81"/>
            <rFont val="Tahoma"/>
            <family val="2"/>
          </rPr>
          <t>Si los porcentajes predeterminados, de las celdas de color verde de esta columna, no coinciden con los previstos y/o reales, podéis modificarlos.</t>
        </r>
      </text>
    </comment>
    <comment ref="BK15" authorId="0" shapeId="0">
      <text>
        <r>
          <rPr>
            <sz val="10"/>
            <color indexed="81"/>
            <rFont val="Tahoma"/>
            <family val="2"/>
          </rPr>
          <t>Los porcentajes predeterminados de las celdas de esta columna se pueden modificar.</t>
        </r>
      </text>
    </comment>
    <comment ref="BR15" authorId="0" shapeId="0">
      <text>
        <r>
          <rPr>
            <sz val="10"/>
            <color indexed="81"/>
            <rFont val="Tahoma"/>
            <family val="2"/>
          </rPr>
          <t>Si los porcentajes predeterminados, de las celdas de color verde de esta columna, no coinciden con los previstos y/o reales, podéis modificarlos.</t>
        </r>
      </text>
    </comment>
    <comment ref="BS15" authorId="0" shapeId="0">
      <text>
        <r>
          <rPr>
            <sz val="10"/>
            <color indexed="81"/>
            <rFont val="Tahoma"/>
            <family val="2"/>
          </rPr>
          <t>Los porcentajes predeterminados de las celdas de esta columna se pueden modificar.</t>
        </r>
      </text>
    </comment>
    <comment ref="BZ15" authorId="0" shapeId="0">
      <text>
        <r>
          <rPr>
            <sz val="10"/>
            <color indexed="81"/>
            <rFont val="Tahoma"/>
            <family val="2"/>
          </rPr>
          <t>Si los porcentajes predeterminados, de las celdas de color verde de esta columna, no coinciden con los previstos y/o reales, podéis modificarlos.</t>
        </r>
      </text>
    </comment>
    <comment ref="CA15" authorId="0" shapeId="0">
      <text>
        <r>
          <rPr>
            <sz val="10"/>
            <color indexed="81"/>
            <rFont val="Tahoma"/>
            <family val="2"/>
          </rPr>
          <t>Los porcentajes predeterminados de las celdas de esta columna se pueden modificar.</t>
        </r>
      </text>
    </comment>
    <comment ref="A30" authorId="1" shapeId="0">
      <text>
        <r>
          <rPr>
            <sz val="10"/>
            <color indexed="81"/>
            <rFont val="Tahoma"/>
            <family val="2"/>
          </rPr>
          <t>Escribir en las celdas de esta fila, el Nª de socios o empresarios individuales que coticen por el Régimen Especial de Trabajadores Autónomos (RETA) y trabajen en la empresa.
Por Jornada Completa escribir 1, por Media Jornada 0,5, por Un Tercio de Jornada 0,33 y por Un Cuarto de Jornada 0,25.</t>
        </r>
      </text>
    </comment>
    <comment ref="A31" authorId="1" shapeId="0">
      <text>
        <r>
          <rPr>
            <sz val="10"/>
            <color indexed="81"/>
            <rFont val="Tahoma"/>
            <family val="2"/>
          </rPr>
          <t>Escribir en las celdas de esta fila, el Nª de empleados que trabajen en la empresa.
Por Jornada Completa escribir 1, por Media Jornada 0,5.</t>
        </r>
      </text>
    </comment>
    <comment ref="A35" authorId="4" shapeId="0">
      <text>
        <r>
          <rPr>
            <sz val="10"/>
            <color indexed="81"/>
            <rFont val="Tahoma"/>
            <family val="2"/>
          </rPr>
          <t xml:space="preserve">Solo utilizar cuando tengamos un proyecto de I+D+i
</t>
        </r>
      </text>
    </comment>
    <comment ref="C39" authorId="0" shapeId="0">
      <text>
        <r>
          <rPr>
            <sz val="10"/>
            <color indexed="81"/>
            <rFont val="Tahoma"/>
            <family val="2"/>
          </rPr>
          <t>Reflejar los Sueldos Brutos Anuales de los socios y empleados que se prevea que quedan afectados al Proyecto I+D+i</t>
        </r>
      </text>
    </comment>
    <comment ref="D39" authorId="0" shapeId="0">
      <text>
        <r>
          <rPr>
            <sz val="10"/>
            <color indexed="81"/>
            <rFont val="Tahoma"/>
            <family val="2"/>
          </rPr>
          <t>Los porcentajes de esta columna se pueden modificar.</t>
        </r>
      </text>
    </comment>
    <comment ref="F39" authorId="0" shapeId="0">
      <text>
        <r>
          <rPr>
            <sz val="10"/>
            <color indexed="81"/>
            <rFont val="Tahoma"/>
            <family val="2"/>
          </rPr>
          <t>Corresponde a la aportación del trabajador a la Seg Social.</t>
        </r>
      </text>
    </comment>
    <comment ref="I39" authorId="0" shapeId="0">
      <text>
        <r>
          <rPr>
            <sz val="10"/>
            <color indexed="81"/>
            <rFont val="Tahoma"/>
            <family val="2"/>
          </rPr>
          <t>Reflejar la Seg. Social  de los socios (RETA) y empleados que se prevea que quedan afectados al Proyecto I+D+i</t>
        </r>
      </text>
    </comment>
    <comment ref="J39" authorId="0" shapeId="0">
      <text>
        <r>
          <rPr>
            <sz val="10"/>
            <color indexed="81"/>
            <rFont val="Tahoma"/>
            <family val="2"/>
          </rPr>
          <t>Sólo reflejar Otros Gastos Sociales Anuales de los socios y empleados que se prevea trabajen para la empresa durante el 1º ejercicio económico.
Ejemplo: mantenimiento o subvenciones a economatos y comedores, contribuciones al sostenimiento de escuelas e instituciones de formación profesional, becas para estudios, cursos de reciclaje, primas por contratos de seguros sobre la vida, accidentes, enfermedad, etc.</t>
        </r>
      </text>
    </comment>
    <comment ref="F40" authorId="0" shapeId="0">
      <text>
        <r>
          <rPr>
            <sz val="9"/>
            <color indexed="81"/>
            <rFont val="Tahoma"/>
            <family val="2"/>
          </rPr>
          <t>Los % que aparecen como predterminados en estas celdas, se pueden modificar.</t>
        </r>
      </text>
    </comment>
  </commentList>
</comments>
</file>

<file path=xl/comments6.xml><?xml version="1.0" encoding="utf-8"?>
<comments xmlns="http://schemas.openxmlformats.org/spreadsheetml/2006/main">
  <authors>
    <author>María  Vicenta Pérez Silvestre</author>
    <author>Manuel Núñez Bonilla</author>
    <author>senta</author>
    <author>Maria Vicenta Perez</author>
    <author>M Vicenta Perez Silvestre</author>
  </authors>
  <commentList>
    <comment ref="A17" authorId="0" shapeId="0">
      <text>
        <r>
          <rPr>
            <sz val="10"/>
            <color indexed="81"/>
            <rFont val="Tahoma"/>
            <family val="2"/>
          </rPr>
          <t>In</t>
        </r>
        <r>
          <rPr>
            <sz val="11"/>
            <color indexed="81"/>
            <rFont val="Tahoma"/>
            <family val="2"/>
          </rPr>
          <t>sertar el importe anual  previsto en la celda N. Dicho importe se repartirá en 12 mensualidades iguales.
Incluye: IBI, IAE, Imp. s/ Vehículos, Licencias de Apertura y Obras, Aparcamiento y Locales, Tasas de Aduanas, Imp. Especiales, Cánones de Comercio, Imp. Municipal de Plusvalías por la Enajenación de Inmuebles, etc.</t>
        </r>
      </text>
    </comment>
    <comment ref="A18" authorId="1" shapeId="0">
      <text>
        <r>
          <rPr>
            <sz val="10"/>
            <color indexed="81"/>
            <rFont val="Tahoma"/>
            <family val="2"/>
          </rPr>
          <t>Inse</t>
        </r>
        <r>
          <rPr>
            <sz val="11"/>
            <color indexed="81"/>
            <rFont val="Tahoma"/>
            <family val="2"/>
          </rPr>
          <t>rtar el importe mensual previsto en la celda B. Dicho importe se repetirá el resto de meses.
Inlcuye: Consumos de Materias Energéticas y cualquier otro Abastecimiento que no tenga naturaleza de almacenable y sea aplicable al proceso productivo</t>
        </r>
      </text>
    </comment>
    <comment ref="A19" authorId="1" shapeId="0">
      <text>
        <r>
          <rPr>
            <sz val="11"/>
            <color indexed="81"/>
            <rFont val="Tahoma"/>
            <family val="2"/>
          </rPr>
          <t>Insertar el importe mensual previsto en la celda B. Dicho importe se repetirá el resto de meses.
Incluye: Importes satisfechos a Profesionales Independientes (abogados, notarios, economistas, agentes mediadores independientes, etc) por los Servicios Prestados a la empresa.</t>
        </r>
      </text>
    </comment>
    <comment ref="A20" authorId="1" shapeId="0">
      <text>
        <r>
          <rPr>
            <sz val="11"/>
            <color indexed="81"/>
            <rFont val="Tahoma"/>
            <family val="2"/>
          </rPr>
          <t>Insertar el importe mensual previsto en la celda B. Dicho importe se repetirá el resto de meses.
Incluye: Material Fungible utilizado para la la administración de la empresa.</t>
        </r>
      </text>
    </comment>
    <comment ref="A21" authorId="1" shapeId="0">
      <text>
        <r>
          <rPr>
            <sz val="11"/>
            <color indexed="81"/>
            <rFont val="Tahoma"/>
            <family val="2"/>
          </rPr>
          <t>Datos que vienen de hoja anterior</t>
        </r>
      </text>
    </comment>
    <comment ref="A22" authorId="1" shapeId="0">
      <text>
        <r>
          <rPr>
            <sz val="10"/>
            <color indexed="81"/>
            <rFont val="Tahoma"/>
            <family val="2"/>
          </rPr>
          <t>Insert</t>
        </r>
        <r>
          <rPr>
            <sz val="11"/>
            <color indexed="81"/>
            <rFont val="Tahoma"/>
            <family val="2"/>
          </rPr>
          <t>ar el importe anual  previsto en la celda N. Dicho importe se repartirá en 12 mensualidades iguales.
Incluye: Cantidades satisfechas por la cobertura de determinados riesgos sobre los bienes integrantes del patrimonio de la empresa.</t>
        </r>
      </text>
    </comment>
    <comment ref="A23" authorId="1" shapeId="0">
      <text>
        <r>
          <rPr>
            <sz val="11"/>
            <color indexed="81"/>
            <rFont val="Tahoma"/>
            <family val="2"/>
          </rPr>
          <t>Insertar el importe mensual previsto en la celda B. Dicho importe se repetirá el resto de meses.
Incluye: Prevención de Riesgos Laborales, Limpieza, Seguridad, etc.</t>
        </r>
        <r>
          <rPr>
            <sz val="10"/>
            <color indexed="81"/>
            <rFont val="Tahoma"/>
            <family val="2"/>
          </rPr>
          <t xml:space="preserve">
</t>
        </r>
      </text>
    </comment>
    <comment ref="A24" authorId="1" shapeId="0">
      <text>
        <r>
          <rPr>
            <sz val="10"/>
            <color indexed="81"/>
            <rFont val="Tahoma"/>
            <family val="2"/>
          </rPr>
          <t>Inser</t>
        </r>
        <r>
          <rPr>
            <sz val="11"/>
            <color indexed="81"/>
            <rFont val="Tahoma"/>
            <family val="2"/>
          </rPr>
          <t>tar el importe mensual previsto en la celda B. Dicho importe se repetirá el resto de meses.
Incluye: Gastos derivados del Mantenimiento de los elementos de Inmovilizado (subsanar averias, reparaciones, o trabajos destinados a evitarlas).</t>
        </r>
      </text>
    </comment>
    <comment ref="A25" authorId="1" shapeId="0">
      <text>
        <r>
          <rPr>
            <sz val="11"/>
            <color indexed="81"/>
            <rFont val="Tahoma"/>
            <family val="2"/>
          </rPr>
          <t>Insertar el importe mensual previsto en la celda B. Dicho importe se repetirá el resto de meses.
Incluye: el Arrendamiento por el Alquiler, cuotas de Renting, Cantidades periódicas a pagar por explotación de una Franquicia, etc.</t>
        </r>
      </text>
    </comment>
    <comment ref="A26" authorId="1" shapeId="0">
      <text>
        <r>
          <rPr>
            <sz val="11"/>
            <color indexed="81"/>
            <rFont val="Tahoma"/>
            <family val="2"/>
          </rPr>
          <t>Insertar el importe mensual previsto en la celda B. Dicho importe se repetirá el resto de meses.
Incluye: los Transportes de ventas y Desplazamientos del personal, así comolos envios  de Mensajería.</t>
        </r>
      </text>
    </comment>
    <comment ref="A27" authorId="2" shapeId="0">
      <text>
        <r>
          <rPr>
            <sz val="11"/>
            <color indexed="81"/>
            <rFont val="Tahoma"/>
            <family val="2"/>
          </rPr>
          <t>Insertar el importe mensual previsto en la celda B. Dicho importe se repetirá el resto de meses.
Incluye: Servicios Bancarios y Similares, Gastos de Viaje del personal (manutención, alojamiento y transportes), Servicios de Postventa, Gastos Medioambientales, Gastos de Investigación y Desarrollo no Activados, Cuotas a Colegios Profesionales, etc.</t>
        </r>
      </text>
    </comment>
    <comment ref="A28" authorId="3" shapeId="0">
      <text>
        <r>
          <rPr>
            <sz val="9"/>
            <color indexed="81"/>
            <rFont val="Tahoma"/>
            <family val="2"/>
          </rPr>
          <t>En esta celda puede sobreescribir el concepto de gasto del que se quiera hacer una referencia particular.</t>
        </r>
      </text>
    </comment>
    <comment ref="A31" authorId="2" shapeId="0">
      <text>
        <r>
          <rPr>
            <sz val="11"/>
            <color indexed="81"/>
            <rFont val="Tahoma"/>
            <family val="2"/>
          </rPr>
          <t>EBITDA: Earns Before Interests, Taxes, Depreciations and Amortizations.
(Beneficio Antes de Intereses, Impuestos y Amortizaciones).</t>
        </r>
      </text>
    </comment>
    <comment ref="A34" authorId="2" shapeId="0">
      <text>
        <r>
          <rPr>
            <sz val="11"/>
            <color indexed="81"/>
            <rFont val="Tahoma"/>
            <family val="2"/>
          </rPr>
          <t>EBIT: Earns Before Interests and Taxes.
BAII: Beneficio Antes de Intereses e Impuestos.</t>
        </r>
      </text>
    </comment>
    <comment ref="A38" authorId="2" shapeId="0">
      <text>
        <r>
          <rPr>
            <sz val="11"/>
            <color indexed="81"/>
            <rFont val="Tahoma"/>
            <family val="2"/>
          </rPr>
          <t xml:space="preserve">En las celdas de esta fila, deben reflejarse:
 b) La recaudación por el Crowdfunding de Recompensa, descontado el IVA Repercutido
(El importe por este Ingreso, no debe escribirse con signo alguno).
</t>
        </r>
      </text>
    </comment>
    <comment ref="C38" authorId="4" shapeId="0">
      <text>
        <r>
          <rPr>
            <sz val="10"/>
            <color indexed="81"/>
            <rFont val="Tahoma"/>
            <family val="2"/>
          </rPr>
          <t>Si el Ingreso de lo recaudado por el Crowdfunding de Recompensa obtenido en el 1º ej. no se cobra en el primer mes de actividad, borrarlo de esta celda y escribirlo manualmente en el mes que se prevea cobrar</t>
        </r>
      </text>
    </comment>
    <comment ref="T38" authorId="4" shapeId="0">
      <text>
        <r>
          <rPr>
            <sz val="10"/>
            <color indexed="81"/>
            <rFont val="Tahoma"/>
            <family val="2"/>
          </rPr>
          <t>Si el Ingreso de lo recaudado por el Crowdfunding de Recompensa obtenido en el 2º ej. no se cobra en el primer mes de actividad, borrarlo de esta celda y escribirlo manualmente en el mes que se prevea cobrar</t>
        </r>
      </text>
    </comment>
    <comment ref="A39" authorId="2" shapeId="0">
      <text>
        <r>
          <rPr>
            <sz val="11"/>
            <color indexed="81"/>
            <rFont val="Tahoma"/>
            <family val="2"/>
          </rPr>
          <t xml:space="preserve">En las celdas de esta fila, deben reflejarse el Resultado (escribir con signo + si es un Beneficio Excepcional (Ingresos &gt; Gastos), y con signo - si es una Pérdida Excepcional (Ingresos &lt; Gastos):
a) Los Gastos de carácter excepcional, como por ejemplo: por Inundaciones, Sanciones, Multas, Incendios, etc; así como las Pérdidas producidas en la enajenación de Inmovilizados o de Inversiones Inmobiliarias.
(Los importes por Gastos Excepcionales, deben escribirse con signo negativo).
b) Otros Ingresos de Gestión, como por ejemplo: los devengados por el Alquiler de bienes Muebles o Inmuebles; por la Cesión en explotación o uso de distintas manifestaciones de la Propiedad Industrial;  por Servicios Varios (tales como economatos, comedores, transportes, viviendas, etc.), facilitados por la empresa a su personal; etc; así como los Beneficios producidos en la enajenación de Inmovilizados o de Inversiones Inmobiliarias.
(Los importes por Ingresos Excepcionales, deben escribirse con signo positivo).
</t>
        </r>
      </text>
    </comment>
    <comment ref="A40" authorId="2" shapeId="0">
      <text>
        <r>
          <rPr>
            <sz val="11"/>
            <color indexed="81"/>
            <rFont val="Tahoma"/>
            <family val="2"/>
          </rPr>
          <t>EBT: Earns Before Taxes.
BAI: Beneficio Antes de Impuestos.</t>
        </r>
      </text>
    </comment>
    <comment ref="H43" authorId="3" shapeId="0">
      <text>
        <r>
          <rPr>
            <sz val="10"/>
            <color indexed="81"/>
            <rFont val="Tahoma"/>
            <family val="2"/>
          </rPr>
          <t>Si el Beneficio Bruto (celda B40) es positivo, el importe que se obtiene en esta celda es el resultado de aplicar a dicho Beneficio Bruto el Tipo Impositivo Medio (determinado en la celda B15 de la hoja "1. Datos Básicos").</t>
        </r>
      </text>
    </comment>
    <comment ref="L43" authorId="3" shapeId="0">
      <text>
        <r>
          <rPr>
            <sz val="10"/>
            <color indexed="81"/>
            <rFont val="Tahoma"/>
            <family val="2"/>
          </rPr>
          <t>Diferencia entre el importe de las celdas de esta fila (Beneficio Bruto) y  (Provisión Impuesto sobre Beneficios).</t>
        </r>
      </text>
    </comment>
    <comment ref="W43" authorId="3" shapeId="0">
      <text>
        <r>
          <rPr>
            <sz val="10"/>
            <color indexed="81"/>
            <rFont val="Tahoma"/>
            <family val="2"/>
          </rPr>
          <t>Corresponde al importe obtenido en la celda AB38.</t>
        </r>
      </text>
    </comment>
    <comment ref="AB43" authorId="3" shapeId="0">
      <text>
        <r>
          <rPr>
            <sz val="10"/>
            <color indexed="81"/>
            <rFont val="Tahoma"/>
            <family val="2"/>
          </rPr>
          <t>Si el Beneficio Bruto (celda T40) es positivo, el importe que se obtiene en esta celda es el resultado de aplicar a dicho Beneficio Bruto el Tipo Impositivo Medio (determinado en la celda B15 de la hoja "1. Datos Básicos").</t>
        </r>
      </text>
    </comment>
    <comment ref="AF43" authorId="3" shapeId="0">
      <text>
        <r>
          <rPr>
            <sz val="10"/>
            <color indexed="81"/>
            <rFont val="Tahoma"/>
            <family val="2"/>
          </rPr>
          <t>Diferencia entre los importes de las celdas de esta fila  (Beneficio Bruto) y  (Provisión Impuesto sobre Beneficios).</t>
        </r>
      </text>
    </comment>
    <comment ref="A49" authorId="4" shapeId="0">
      <text>
        <r>
          <rPr>
            <sz val="11"/>
            <color indexed="81"/>
            <rFont val="Tahoma"/>
            <family val="2"/>
          </rPr>
          <t>Incluido los Gastos de "Dotación Amortizaciones" y "Financieros"</t>
        </r>
      </text>
    </comment>
    <comment ref="K49" authorId="4" shapeId="0">
      <text>
        <r>
          <rPr>
            <sz val="11"/>
            <color indexed="81"/>
            <rFont val="Calibri"/>
            <family val="2"/>
            <scheme val="minor"/>
          </rPr>
          <t>Gastos de Explotación + Financieros</t>
        </r>
      </text>
    </comment>
    <comment ref="L49" authorId="3" shapeId="0">
      <text>
        <r>
          <rPr>
            <sz val="10"/>
            <color indexed="81"/>
            <rFont val="Tahoma"/>
            <family val="2"/>
          </rPr>
          <t>% del Total Gastos de Explotación, incluido Dotación Amortizaciones más Gastos Financieros sobre Ventas</t>
        </r>
      </text>
    </comment>
    <comment ref="X49" authorId="3" shapeId="0">
      <text>
        <r>
          <rPr>
            <sz val="10"/>
            <color indexed="81"/>
            <rFont val="Tahoma"/>
            <family val="2"/>
          </rPr>
          <t>Total Gastos de Explotación, incluido "Dotación Amortizaciones" y "Gastos Financieros"</t>
        </r>
      </text>
    </comment>
    <comment ref="AE49" authorId="4" shapeId="0">
      <text>
        <r>
          <rPr>
            <sz val="11"/>
            <color indexed="81"/>
            <rFont val="Calibri"/>
            <family val="2"/>
            <scheme val="minor"/>
          </rPr>
          <t>Gastos de Explotación + Financieros</t>
        </r>
      </text>
    </comment>
    <comment ref="AF49" authorId="3" shapeId="0">
      <text>
        <r>
          <rPr>
            <sz val="10"/>
            <color indexed="81"/>
            <rFont val="Tahoma"/>
            <family val="2"/>
          </rPr>
          <t>% del Total Gastos de Explotación, incluido Dotación Amortizaciones más Gastos Financieros sobre Ventas</t>
        </r>
      </text>
    </comment>
    <comment ref="C51" authorId="3" shapeId="0">
      <text>
        <r>
          <rPr>
            <sz val="10"/>
            <color indexed="81"/>
            <rFont val="Tahoma"/>
            <family val="2"/>
          </rPr>
          <t>En base a una jornada diaria de 8 hs, se ha tenido en cuenta 1/2 hora de asuntos propios (de pausas).
-  Este dato puede ser modificado, según las características de la empresa -.</t>
        </r>
      </text>
    </comment>
    <comment ref="L51" authorId="3" shapeId="0">
      <text>
        <r>
          <rPr>
            <sz val="10"/>
            <color indexed="81"/>
            <rFont val="Tahoma"/>
            <family val="2"/>
          </rPr>
          <t xml:space="preserve">% del Total Gastos de Explotación, EXCLUIDO Dotación Amortizaciones y Gastos Financieros </t>
        </r>
      </text>
    </comment>
    <comment ref="W51" authorId="3" shapeId="0">
      <text>
        <r>
          <rPr>
            <sz val="10"/>
            <color indexed="81"/>
            <rFont val="Tahoma"/>
            <family val="2"/>
          </rPr>
          <t>En base a una jornada diaria de 8 hs, se ha tenido en cuenta 1/2 hora de asuntos propios (de pausas).
-  Este dato puede ser modificado, según las características de la empresa -.</t>
        </r>
      </text>
    </comment>
    <comment ref="AF51" authorId="3" shapeId="0">
      <text>
        <r>
          <rPr>
            <sz val="10"/>
            <color indexed="81"/>
            <rFont val="Tahoma"/>
            <family val="2"/>
          </rPr>
          <t xml:space="preserve">% del Total Gastos de Explotación, EXCLUIDO Dotación Amortizaciones y Gastos Financieros </t>
        </r>
      </text>
    </comment>
    <comment ref="C52" authorId="3" shapeId="0">
      <text>
        <r>
          <rPr>
            <sz val="10"/>
            <color indexed="81"/>
            <rFont val="Tahoma"/>
            <family val="2"/>
          </rPr>
          <t xml:space="preserve">
En esta celda se copiará el número de trabajadores (por cuenta propia y ajena) que aparecen en la celda H32 de la hoja "5. Costes RRHH..."; los del 1º año (o ejercicio económico).
Esta Mano de Obra será la considerada directamente productiva. En el supuesto que no sea toda directamente productiva, se puede modificar.</t>
        </r>
      </text>
    </comment>
    <comment ref="W52" authorId="3" shapeId="0">
      <text>
        <r>
          <rPr>
            <sz val="10"/>
            <color indexed="81"/>
            <rFont val="Tahoma"/>
            <family val="2"/>
          </rPr>
          <t xml:space="preserve">
En esta celda se copiará el número de trabajadores (por cuenta propia y ajena) que aparecen en la celda I32 de la hoja "5. Costes RRHH..."; los del 2º año (o ejercicio económico).
Esta Mano de Obra será la considerada directamente productiva. En el supuesto que no sea toda directamente productiva, se puede modificar.</t>
        </r>
      </text>
    </comment>
    <comment ref="C53" authorId="3" shapeId="0">
      <text>
        <r>
          <rPr>
            <sz val="10"/>
            <color indexed="81"/>
            <rFont val="Tahoma"/>
            <family val="2"/>
          </rPr>
          <t>Sobre un jornada mensual de trabajo, se han tenido en cuenta 4,5 fines de semana de descanso.
-  Este dato puede ser modificado, según las características de la empresa -.</t>
        </r>
      </text>
    </comment>
    <comment ref="W53" authorId="3" shapeId="0">
      <text>
        <r>
          <rPr>
            <sz val="10"/>
            <color indexed="81"/>
            <rFont val="Tahoma"/>
            <family val="2"/>
          </rPr>
          <t>Sobre un jornada mensual de trabajo, se han tenido en cuenta 4,5 fines de semana de descanso.
-  Este dato puede ser modificado, según las características de la empresa -.</t>
        </r>
      </text>
    </comment>
    <comment ref="C54" authorId="3" shapeId="0">
      <text>
        <r>
          <rPr>
            <sz val="10"/>
            <color indexed="81"/>
            <rFont val="Tahoma"/>
            <family val="2"/>
          </rPr>
          <t>Sobre un año laboral, se ha tenido en cuenta un mes de vacaciones.
-  Este dato puede ser modificado, según las características de la empresa -.</t>
        </r>
      </text>
    </comment>
    <comment ref="W54" authorId="3" shapeId="0">
      <text>
        <r>
          <rPr>
            <sz val="10"/>
            <color indexed="81"/>
            <rFont val="Tahoma"/>
            <family val="2"/>
          </rPr>
          <t>Sobre un año laboral, se ha tenido en cuenta un mes de vacaciones.
-  Este dato puede ser modificado, según las características de la empresa -.</t>
        </r>
      </text>
    </comment>
    <comment ref="C57" authorId="3" shapeId="0">
      <text>
        <r>
          <rPr>
            <sz val="10"/>
            <color indexed="81"/>
            <rFont val="Tahoma"/>
            <family val="2"/>
          </rPr>
          <t>Coste Fijo / Hora, calculado en base a las Horas estimadas de Trabajo - Empresa Productivas / Año ( o Ejerc. Económico).</t>
        </r>
      </text>
    </comment>
    <comment ref="W57" authorId="3" shapeId="0">
      <text>
        <r>
          <rPr>
            <sz val="10"/>
            <color indexed="81"/>
            <rFont val="Tahoma"/>
            <family val="2"/>
          </rPr>
          <t>Coste Fijo / Hora, calculado en base a las Horas estimadas de Trabajo - Empresa Productivas / Año ( o Ejerc. Económico).</t>
        </r>
      </text>
    </comment>
    <comment ref="J73" authorId="4" shapeId="0">
      <text>
        <r>
          <rPr>
            <sz val="10"/>
            <color indexed="81"/>
            <rFont val="Tahoma"/>
            <family val="2"/>
          </rPr>
          <t>Del total de Gastos Operativos de Explotación reflejados en la Cuenta de Resultados de arriba, indicar en porcentaje cuántos se pueden imputar al Proyecto de I+D+i</t>
        </r>
      </text>
    </comment>
    <comment ref="K77" authorId="4" shapeId="0">
      <text>
        <r>
          <rPr>
            <sz val="10"/>
            <color indexed="81"/>
            <rFont val="Tahoma"/>
            <family val="2"/>
          </rPr>
          <t>Escribir en esta celda el importe que aparece escrito en la celda de la derecha (K63)</t>
        </r>
      </text>
    </comment>
    <comment ref="L77" authorId="4" shapeId="0">
      <text>
        <r>
          <rPr>
            <sz val="10"/>
            <color indexed="81"/>
            <rFont val="Tahoma"/>
            <family val="2"/>
          </rPr>
          <t>Cuando se escriba el importe que aparece en esta celda en la celda de la izquierda, esta celda se quedará en blanco.</t>
        </r>
      </text>
    </comment>
  </commentList>
</comments>
</file>

<file path=xl/comments7.xml><?xml version="1.0" encoding="utf-8"?>
<comments xmlns="http://schemas.openxmlformats.org/spreadsheetml/2006/main">
  <authors>
    <author>M Vicenta Perez Silvestre</author>
    <author>Maria Vicenta Perez</author>
  </authors>
  <commentList>
    <comment ref="I8" authorId="0" shapeId="0">
      <text>
        <r>
          <rPr>
            <sz val="11"/>
            <color indexed="81"/>
            <rFont val="Arial"/>
            <family val="2"/>
          </rPr>
          <t>Pueden modificarse los años reflejados abajo</t>
        </r>
      </text>
    </comment>
    <comment ref="Q8" authorId="0" shapeId="0">
      <text>
        <r>
          <rPr>
            <sz val="11"/>
            <color indexed="81"/>
            <rFont val="Tahoma"/>
            <family val="2"/>
          </rPr>
          <t>Pueden modificarse las características preestablecidas para cada unos de los tres productos financieros abajo indicados</t>
        </r>
      </text>
    </comment>
    <comment ref="D9" authorId="0" shapeId="0">
      <text>
        <r>
          <rPr>
            <sz val="11"/>
            <color indexed="81"/>
            <rFont val="Tahoma"/>
            <family val="2"/>
          </rPr>
          <t>Importe de la Base Imponible, sin (IVA)</t>
        </r>
      </text>
    </comment>
    <comment ref="AA9" authorId="1" shapeId="0">
      <text>
        <r>
          <rPr>
            <sz val="11"/>
            <color indexed="81"/>
            <rFont val="Tahoma"/>
            <family val="2"/>
          </rPr>
          <t>Deben reflejarse los importes de la Base Imponible (sin IVA) de aquellos Bienes y Derechos que se prevean comprar a lo largo del primer ejercicio económico.</t>
        </r>
      </text>
    </comment>
    <comment ref="AB9" authorId="1" shapeId="0">
      <text>
        <r>
          <rPr>
            <sz val="11"/>
            <color indexed="81"/>
            <rFont val="Tahoma"/>
            <family val="2"/>
          </rPr>
          <t>Pinchar la celda activada de color rojo y escribir la primer letra de alguna de las "Formas de Financiación" siguientes:
T - Tesorería.
P - Préstamo Financiero, Crowdlending
R - Renting.
A - Ampliación de Capital.
S - Subvención, Donaciones.
PS - Préstamo Socios, Familiares y Amigos.</t>
        </r>
        <r>
          <rPr>
            <sz val="9"/>
            <color indexed="81"/>
            <rFont val="Tahoma"/>
            <family val="2"/>
          </rPr>
          <t xml:space="preserve">
</t>
        </r>
      </text>
    </comment>
    <comment ref="AD9" authorId="0" shapeId="0">
      <text>
        <r>
          <rPr>
            <sz val="11"/>
            <color indexed="81"/>
            <rFont val="Tahoma"/>
            <family val="2"/>
          </rPr>
          <t>Pueden modificarse las características preestablecidas para cada unos de los tres productos financieros abajo indicados</t>
        </r>
      </text>
    </comment>
    <comment ref="AL9" authorId="1" shapeId="0">
      <text>
        <r>
          <rPr>
            <sz val="11"/>
            <color indexed="81"/>
            <rFont val="Tahoma"/>
            <family val="2"/>
          </rPr>
          <t>Deben reflejarse los importes de la Base Imponible (sin IVA) de aquellos Bienes y Derechos que se prevean comprar a lo largo del primer ejercicio económico.</t>
        </r>
      </text>
    </comment>
    <comment ref="AM9" authorId="1" shapeId="0">
      <text>
        <r>
          <rPr>
            <sz val="11"/>
            <color indexed="81"/>
            <rFont val="Tahoma"/>
            <family val="2"/>
          </rPr>
          <t>Pinchar la celda activada de color rojo y escribir la primer letra de alguna de las "Formas de Financiación" siguientes:
T - Tesorería.
P - Préstamo Financiero, Crowdlending
R - Renting.
A - Ampliación de Capital.
S - Subvención, Donaciones.
PS - Préstamo Socios, Familiares y Amigos.</t>
        </r>
        <r>
          <rPr>
            <sz val="9"/>
            <color indexed="81"/>
            <rFont val="Tahoma"/>
            <family val="2"/>
          </rPr>
          <t xml:space="preserve">
</t>
        </r>
      </text>
    </comment>
    <comment ref="AO9" authorId="0" shapeId="0">
      <text>
        <r>
          <rPr>
            <sz val="11"/>
            <color indexed="81"/>
            <rFont val="Tahoma"/>
            <family val="2"/>
          </rPr>
          <t>Pueden modificarse las características preestablecidas para cada unos de los tres productos financieros abajo indicados</t>
        </r>
      </text>
    </comment>
    <comment ref="AV9" authorId="1" shapeId="0">
      <text>
        <r>
          <rPr>
            <sz val="11"/>
            <color indexed="81"/>
            <rFont val="Tahoma"/>
            <family val="2"/>
          </rPr>
          <t>Deben reflejarse los importes de la Base Imponible (sin IVA) de aquellos Bienes y Derechos que se prevean comprar a lo largo del primer ejercicio económico.</t>
        </r>
      </text>
    </comment>
    <comment ref="AW9" authorId="1" shapeId="0">
      <text>
        <r>
          <rPr>
            <sz val="11"/>
            <color indexed="81"/>
            <rFont val="Tahoma"/>
            <family val="2"/>
          </rPr>
          <t>Pinchar la celda activada de color rojo y escribir la primer letra de alguna de las "Formas de Financiación" siguientes:
T - Tesorería.
P - Préstamo Financiero, Crowdlending
R - Renting.
A - Ampliación de Capital.
S - Subvención, Donaciones.
PS - Préstamo Socios, Familiares y Amigos.</t>
        </r>
        <r>
          <rPr>
            <sz val="9"/>
            <color indexed="81"/>
            <rFont val="Tahoma"/>
            <family val="2"/>
          </rPr>
          <t xml:space="preserve">
</t>
        </r>
      </text>
    </comment>
    <comment ref="AY9" authorId="1" shapeId="0">
      <text>
        <r>
          <rPr>
            <sz val="11"/>
            <color indexed="81"/>
            <rFont val="Tahoma"/>
            <family val="2"/>
          </rPr>
          <t>Deben reflejarse los importes de la Base Imponible (sin IVA) de aquellos Bienes y Derechos que se prevean comprar a lo largo del primer ejercicio económico.</t>
        </r>
      </text>
    </comment>
    <comment ref="AZ9" authorId="1" shapeId="0">
      <text>
        <r>
          <rPr>
            <sz val="11"/>
            <color indexed="81"/>
            <rFont val="Tahoma"/>
            <family val="2"/>
          </rPr>
          <t>Pinchar la celda activada de color rojo y escribir la primer letra de alguna de las "Formas de Financiación" siguientes:
T - Tesorería.
P - Préstamo Financiero, Crowdlending
R - Renting.
A - Ampliación de Capital.
S - Subvención, Donaciones.
PS - Préstamo Socios, Familiares y Amigos.</t>
        </r>
        <r>
          <rPr>
            <sz val="9"/>
            <color indexed="81"/>
            <rFont val="Tahoma"/>
            <family val="2"/>
          </rPr>
          <t xml:space="preserve">
</t>
        </r>
      </text>
    </comment>
    <comment ref="BB9" authorId="1" shapeId="0">
      <text>
        <r>
          <rPr>
            <sz val="11"/>
            <color indexed="81"/>
            <rFont val="Tahoma"/>
            <family val="2"/>
          </rPr>
          <t>Deben reflejarse los importes de la Base Imponible (sin IVA) de aquellos Bienes y Derechos que se prevean comprar a lo largo del primer ejercicio económico.</t>
        </r>
      </text>
    </comment>
    <comment ref="BC9" authorId="1" shapeId="0">
      <text>
        <r>
          <rPr>
            <sz val="11"/>
            <color indexed="81"/>
            <rFont val="Tahoma"/>
            <family val="2"/>
          </rPr>
          <t>Pinchar la celda activada de color rojo y escribir la primer letra de alguna de las "Formas de Financiación" siguientes:
T - Tesorería.
P - Préstamo Financiero, Crowdlending
R - Renting.
A - Ampliación de Capital.
S - Subvención, Donaciones.
PS - Préstamo Socios, Familiares y Amigos.</t>
        </r>
        <r>
          <rPr>
            <sz val="9"/>
            <color indexed="81"/>
            <rFont val="Tahoma"/>
            <family val="2"/>
          </rPr>
          <t xml:space="preserve">
</t>
        </r>
      </text>
    </comment>
    <comment ref="AD17" authorId="0" shapeId="0">
      <text>
        <r>
          <rPr>
            <sz val="11"/>
            <color indexed="81"/>
            <rFont val="Tahoma"/>
            <family val="2"/>
          </rPr>
          <t>Pueden modificarse las características reflejadas abajo</t>
        </r>
      </text>
    </comment>
    <comment ref="AO17" authorId="0" shapeId="0">
      <text>
        <r>
          <rPr>
            <sz val="11"/>
            <color indexed="81"/>
            <rFont val="Tahoma"/>
            <family val="2"/>
          </rPr>
          <t>Pueden modificarse las características reflejadas abajo</t>
        </r>
      </text>
    </comment>
    <comment ref="AD22" authorId="0" shapeId="0">
      <text>
        <r>
          <rPr>
            <sz val="11"/>
            <color indexed="81"/>
            <rFont val="Tahoma"/>
            <family val="2"/>
          </rPr>
          <t>Pueden modificarse las características reflejadas abajo</t>
        </r>
      </text>
    </comment>
    <comment ref="AO22" authorId="0" shapeId="0">
      <text>
        <r>
          <rPr>
            <sz val="11"/>
            <color indexed="81"/>
            <rFont val="Tahoma"/>
            <family val="2"/>
          </rPr>
          <t>Pueden modificarse las características reflejadas abajo</t>
        </r>
      </text>
    </comment>
    <comment ref="M23" authorId="0" shapeId="0">
      <text>
        <r>
          <rPr>
            <sz val="10"/>
            <color indexed="81"/>
            <rFont val="Tahoma"/>
            <family val="2"/>
          </rPr>
          <t>Reflejar el importe Neto a recibir (Ingreso - Costes del material de la Recompensa)</t>
        </r>
      </text>
    </comment>
    <comment ref="O24" authorId="0" shapeId="0">
      <text>
        <r>
          <rPr>
            <sz val="11"/>
            <color indexed="81"/>
            <rFont val="Calibri"/>
            <family val="2"/>
          </rPr>
          <t>Reflejar el gasto con signo negativo</t>
        </r>
      </text>
    </comment>
    <comment ref="Q24" authorId="0" shapeId="0">
      <text>
        <r>
          <rPr>
            <sz val="11"/>
            <color indexed="81"/>
            <rFont val="Tahoma"/>
            <family val="2"/>
          </rPr>
          <t>Pueden modificarse las características reflejadas abajo</t>
        </r>
      </text>
    </comment>
    <comment ref="M30" authorId="0" shapeId="0">
      <text>
        <r>
          <rPr>
            <sz val="11"/>
            <color indexed="81"/>
            <rFont val="Calibri"/>
            <family val="2"/>
          </rPr>
          <t>Si los primeros números de la fase de validación ha supuesto un movimiento  de tesorería, en la que los gastos se han convertido en salidas reales de dinero y los ingresos en entradas reales de dinero, reflejar aquí el saldo obtenido por la diferencia entre ambos, siempre que dicho saldo haya que afectarlo a la actividad objeto de este proyecto</t>
        </r>
        <r>
          <rPr>
            <sz val="10"/>
            <color indexed="81"/>
            <rFont val="Calibri"/>
            <family val="2"/>
          </rPr>
          <t>.</t>
        </r>
      </text>
    </comment>
    <comment ref="AA30" authorId="0" shapeId="0">
      <text>
        <r>
          <rPr>
            <sz val="11"/>
            <color indexed="81"/>
            <rFont val="Tahoma"/>
            <family val="2"/>
          </rPr>
          <t xml:space="preserve">Si el importe que aparece reflejado en esta celda no se financia con alguna de las alternativas de financiación indicadas abajo, habrá que ver si  la actividad de la empresa es capaz de generar tesorería suficiente para poder pagar éste importe; si no habrá que pensar en buscar una alternativa de inversión o de financiación. 
</t>
        </r>
      </text>
    </comment>
    <comment ref="AL30" authorId="0" shapeId="0">
      <text>
        <r>
          <rPr>
            <sz val="10"/>
            <color indexed="81"/>
            <rFont val="Tahoma"/>
            <family val="2"/>
          </rPr>
          <t xml:space="preserve">Si el importe que aparece reflejado en esta celda no se financia con alguna de las alternativas de financiación indicadas abajo, habrá que ver si  la actividad de la empresa es capaz de generar tesorería suficiente para poder pagar éste importe; si no habrá que pensar en buscar una alternativa de inversión o de financiación. </t>
        </r>
      </text>
    </comment>
    <comment ref="AV30" authorId="0" shapeId="0">
      <text>
        <r>
          <rPr>
            <sz val="10"/>
            <color indexed="81"/>
            <rFont val="Tahoma"/>
            <family val="2"/>
          </rPr>
          <t>Si aparece con signo negativo: Financiación Sobrante</t>
        </r>
      </text>
    </comment>
    <comment ref="AY30" authorId="0" shapeId="0">
      <text>
        <r>
          <rPr>
            <sz val="10"/>
            <color indexed="81"/>
            <rFont val="Tahoma"/>
            <family val="2"/>
          </rPr>
          <t>Si aparece con signo negativo: Financiación Sobrante</t>
        </r>
      </text>
    </comment>
    <comment ref="BB30" authorId="0" shapeId="0">
      <text>
        <r>
          <rPr>
            <sz val="10"/>
            <color indexed="81"/>
            <rFont val="Tahoma"/>
            <family val="2"/>
          </rPr>
          <t>Si aparece con signo negativo: Financiación Sobrante</t>
        </r>
      </text>
    </comment>
    <comment ref="A33" authorId="0" shapeId="0">
      <text>
        <r>
          <rPr>
            <sz val="11"/>
            <color indexed="81"/>
            <rFont val="Calibri"/>
            <family val="2"/>
            <scheme val="minor"/>
          </rPr>
          <t>De 1º Establecimiento, Prototipo, Constitución y Otros</t>
        </r>
      </text>
    </comment>
    <comment ref="Q35" authorId="0" shapeId="0">
      <text>
        <r>
          <rPr>
            <sz val="11"/>
            <color indexed="81"/>
            <rFont val="Tahoma"/>
            <family val="2"/>
          </rPr>
          <t>Pueden modificarse las características reflejadas abajo</t>
        </r>
      </text>
    </comment>
    <comment ref="AV42" authorId="0" shapeId="0">
      <text>
        <r>
          <rPr>
            <sz val="10"/>
            <color indexed="81"/>
            <rFont val="Tahoma"/>
            <family val="2"/>
          </rPr>
          <t>Relfejar el importe con signo negativo</t>
        </r>
      </text>
    </comment>
    <comment ref="AY42" authorId="0" shapeId="0">
      <text>
        <r>
          <rPr>
            <sz val="10"/>
            <color indexed="81"/>
            <rFont val="Tahoma"/>
            <family val="2"/>
          </rPr>
          <t>Relfejar el importe con signo negativo</t>
        </r>
      </text>
    </comment>
    <comment ref="BB42" authorId="0" shapeId="0">
      <text>
        <r>
          <rPr>
            <sz val="10"/>
            <color indexed="81"/>
            <rFont val="Tahoma"/>
            <family val="2"/>
          </rPr>
          <t>Relfejar el importe con signo negativo</t>
        </r>
      </text>
    </comment>
    <comment ref="Y43" authorId="0" shapeId="0">
      <text>
        <r>
          <rPr>
            <sz val="10"/>
            <color indexed="81"/>
            <rFont val="Tahoma"/>
            <family val="2"/>
          </rPr>
          <t>Reflejar el importe Neto a recibir (Ingreso - Costes del material de la Recompensa)</t>
        </r>
      </text>
    </comment>
    <comment ref="AA44" authorId="0" shapeId="0">
      <text>
        <r>
          <rPr>
            <sz val="10"/>
            <color indexed="81"/>
            <rFont val="Tahoma"/>
            <family val="2"/>
          </rPr>
          <t>Relfejar el importe con signo negativo</t>
        </r>
      </text>
    </comment>
    <comment ref="AD44" authorId="0" shapeId="0">
      <text>
        <r>
          <rPr>
            <sz val="11"/>
            <color indexed="81"/>
            <rFont val="Tahoma"/>
            <family val="2"/>
          </rPr>
          <t>Pueden modificarse las características reflejadas abajo</t>
        </r>
      </text>
    </comment>
    <comment ref="AL44" authorId="0" shapeId="0">
      <text>
        <r>
          <rPr>
            <sz val="10"/>
            <color indexed="81"/>
            <rFont val="Tahoma"/>
            <family val="2"/>
          </rPr>
          <t>Relfejar el importe con signo negativo</t>
        </r>
      </text>
    </comment>
    <comment ref="AO44" authorId="0" shapeId="0">
      <text>
        <r>
          <rPr>
            <sz val="11"/>
            <color indexed="81"/>
            <rFont val="Tahoma"/>
            <family val="2"/>
          </rPr>
          <t>Pueden modificarse las características reflejadas abajo</t>
        </r>
      </text>
    </comment>
    <comment ref="AD48" authorId="0" shapeId="0">
      <text>
        <r>
          <rPr>
            <sz val="11"/>
            <color indexed="81"/>
            <rFont val="Tahoma"/>
            <family val="2"/>
          </rPr>
          <t>Deben modificarse las características desde las celdas fila 20</t>
        </r>
      </text>
    </comment>
    <comment ref="AO48" authorId="0" shapeId="0">
      <text>
        <r>
          <rPr>
            <sz val="11"/>
            <color indexed="81"/>
            <rFont val="Tahoma"/>
            <family val="2"/>
          </rPr>
          <t>Deben modificarse las características desde las celdas de la fila 20</t>
        </r>
      </text>
    </comment>
    <comment ref="A106" authorId="1" shapeId="0">
      <text>
        <r>
          <rPr>
            <sz val="11"/>
            <color indexed="81"/>
            <rFont val="Tahoma"/>
            <family val="2"/>
          </rPr>
          <t>AAIM:
Amortización Acumulada del Inmovilizado Material.</t>
        </r>
      </text>
    </comment>
    <comment ref="A108" authorId="1" shapeId="0">
      <text>
        <r>
          <rPr>
            <sz val="11"/>
            <color indexed="81"/>
            <rFont val="Tahoma"/>
            <family val="2"/>
          </rPr>
          <t>AAII:
Amortización Acumulada del Inmovilizado Inmaterial.</t>
        </r>
      </text>
    </comment>
    <comment ref="A110" authorId="1" shapeId="0">
      <text>
        <r>
          <rPr>
            <sz val="11"/>
            <color indexed="81"/>
            <rFont val="Tahoma"/>
            <family val="2"/>
          </rPr>
          <t>AAII:
Amortización Acumulada del Inmovilizado Inmaterial.</t>
        </r>
      </text>
    </comment>
  </commentList>
</comments>
</file>

<file path=xl/comments8.xml><?xml version="1.0" encoding="utf-8"?>
<comments xmlns="http://schemas.openxmlformats.org/spreadsheetml/2006/main">
  <authors>
    <author>Maria Vicenta Perez</author>
    <author>senta</author>
  </authors>
  <commentList>
    <comment ref="E5" authorId="0" shapeId="0">
      <text>
        <r>
          <rPr>
            <sz val="10"/>
            <color indexed="81"/>
            <rFont val="Tahoma"/>
            <family val="2"/>
          </rPr>
          <t>Si en la celda B19 de la hoja "1. Datos Básicos" ha escrito NO, puede ocultar este cuadro (columnas EF).</t>
        </r>
      </text>
    </comment>
    <comment ref="C6" authorId="0" shapeId="0">
      <text>
        <r>
          <rPr>
            <sz val="10"/>
            <color indexed="81"/>
            <rFont val="Tahoma"/>
            <family val="2"/>
          </rPr>
          <t>Contribución de cada cuenta respecto al total del Activo (=100%).</t>
        </r>
      </text>
    </comment>
    <comment ref="E6" authorId="0" shapeId="0">
      <text>
        <r>
          <rPr>
            <sz val="10"/>
            <color indexed="81"/>
            <rFont val="Tahoma"/>
            <family val="2"/>
          </rPr>
          <t>Reflejar los importes de los Activos del Balance de Situación, a fecha del cierre del ejercicio económico inmediato anterior al de inicio de este PF, excepto Amortizaciones Acumuladas.</t>
        </r>
      </text>
    </comment>
    <comment ref="F6" authorId="1" shapeId="0">
      <text>
        <r>
          <rPr>
            <sz val="10"/>
            <color indexed="81"/>
            <rFont val="Tahoma"/>
            <family val="2"/>
          </rPr>
          <t>Reflejar los importes de Amortizaciones Acumuladas de los concpetos de Activo que les afecte, a fecha de cierre del ejercicio económico inmediato anterior al del inicio de este Plan Financiero.</t>
        </r>
      </text>
    </comment>
    <comment ref="H6" authorId="1" shapeId="0">
      <text>
        <r>
          <rPr>
            <sz val="10"/>
            <color indexed="81"/>
            <rFont val="Tahoma"/>
            <family val="2"/>
          </rPr>
          <t>Reflejar el Valor Razonable de los Activos  (Bienes y/o Derechos) que se Aportan del Patrimonio Personal.</t>
        </r>
      </text>
    </comment>
    <comment ref="I6" authorId="1" shapeId="0">
      <text>
        <r>
          <rPr>
            <sz val="10"/>
            <color indexed="81"/>
            <rFont val="Tahoma"/>
            <family val="2"/>
          </rPr>
          <t>Reflejar el Valor de la Base Imponible de los Activos (Bienes y/o Derechos) que se Adquieran (Compren) en el momento de Partida.</t>
        </r>
      </text>
    </comment>
    <comment ref="J6" authorId="1" shapeId="0">
      <text>
        <r>
          <rPr>
            <sz val="10"/>
            <color indexed="81"/>
            <rFont val="Tahoma"/>
            <family val="2"/>
          </rPr>
          <t>Reflejar el % de IVA Soportado por las Inversiones en Inmovilizado y en Existencias, (% de IVA que se debe pagar, por la Compra de dichos Activos).
Si el que aparece predeterminado no es, puede modificarlo.</t>
        </r>
      </text>
    </comment>
    <comment ref="N6" authorId="0" shapeId="0">
      <text>
        <r>
          <rPr>
            <sz val="11"/>
            <color indexed="81"/>
            <rFont val="Tahoma"/>
            <family val="2"/>
          </rPr>
          <t>Si los Años de Amortización predeterminados en las celdas de esta columna no coinciden con los que haya previsto, debe situarse en la celda del Bien y/o Derecho en cuestión y modificarlo/s.</t>
        </r>
      </text>
    </comment>
    <comment ref="B9" authorId="1" shapeId="0">
      <text>
        <r>
          <rPr>
            <sz val="11"/>
            <color indexed="81"/>
            <rFont val="Tahoma"/>
            <family val="2"/>
          </rPr>
          <t>Incluye el valor de los Solares de Naturaleza Urbana, Fincas Rústicas, además de Otros Terrenos No Urbanos.
En esta celda sólo reflejaremos los importes de esta cuenta que no deban amortizarse. Los que sí deban amortizarse, por cuestiones operativas de esta hoja de cálculo, deben reflejarse en la celda de "Otro Inmovilizado Material".</t>
        </r>
      </text>
    </comment>
    <comment ref="B10" authorId="1" shapeId="0">
      <text>
        <r>
          <rPr>
            <sz val="11"/>
            <color indexed="81"/>
            <rFont val="Tahoma"/>
            <family val="2"/>
          </rPr>
          <t>Incluye las Edificaciones en general. 
Es decir, aquellas Instalaciones y Elementos que tengan carácter de permanencia, así como las Tasas y Honorarios a profesionales como: arquitectos, ingenieros, aparejadores (por la realización del proyecto y dirección de obra).</t>
        </r>
      </text>
    </comment>
    <comment ref="B11" authorId="1" shapeId="0">
      <text>
        <r>
          <rPr>
            <sz val="10"/>
            <color indexed="81"/>
            <rFont val="Tahoma"/>
            <family val="2"/>
          </rPr>
          <t>I</t>
        </r>
        <r>
          <rPr>
            <sz val="11"/>
            <color indexed="81"/>
            <rFont val="Tahoma"/>
            <family val="2"/>
          </rPr>
          <t xml:space="preserve">ncluye las Reformas de los Locales de Alquiler, que supongan: cambiar suelos, tirar tabiques, reformar baños, realizar instalaciones eléctricas, instalar aire acondicionado, etc, así como los Honorarios y Tasas a profesionales por realizar el proyecto de reforma.
</t>
        </r>
      </text>
    </comment>
    <comment ref="B12" authorId="1" shapeId="0">
      <text>
        <r>
          <rPr>
            <sz val="11"/>
            <color indexed="81"/>
            <rFont val="Tahoma"/>
            <family val="2"/>
          </rPr>
          <t>Incluye las Máquinas mediante las cuales se realiza la extracción o elaboración de productos, y los Elementos de Transporte utilizados en Exclusiva para el Traslado de personas y materiales en el Interior de la empresa.</t>
        </r>
      </text>
    </comment>
    <comment ref="B13" authorId="1" shapeId="0">
      <text>
        <r>
          <rPr>
            <sz val="11"/>
            <color indexed="81"/>
            <rFont val="Tahoma"/>
            <family val="2"/>
          </rPr>
          <t>Incluye el valor de los Utensilios, Herramientas y Menaje, que se puede utilizar autónoma o conjuntamente con la maquinaria.</t>
        </r>
      </text>
    </comment>
    <comment ref="B14" authorId="1" shapeId="0">
      <text>
        <r>
          <rPr>
            <sz val="11"/>
            <color indexed="81"/>
            <rFont val="Tahoma"/>
            <family val="2"/>
          </rPr>
          <t>Incluye el valor del Mobiliario, Material y Equipos de Oficina, excluidos los ordenadores y demás conjuntos electrónicos.</t>
        </r>
      </text>
    </comment>
    <comment ref="B15" authorId="1" shapeId="0">
      <text>
        <r>
          <rPr>
            <sz val="11"/>
            <color indexed="81"/>
            <rFont val="Tahoma"/>
            <family val="2"/>
          </rPr>
          <t xml:space="preserve">Incluye todos los elementos de Transporte Terrestre, Marítimo o Aéreo, No utilizados, en exclusiva, en el Ámbito Interno de la empresa.
</t>
        </r>
      </text>
    </comment>
    <comment ref="B16" authorId="1" shapeId="0">
      <text>
        <r>
          <rPr>
            <sz val="11"/>
            <color indexed="81"/>
            <rFont val="Tahoma"/>
            <family val="2"/>
          </rPr>
          <t>Incluye los Ordenadores (hardware) y demás Conjuntos Electrónicos y relacionados a las Nuevas Tecnologías de la Comunicación</t>
        </r>
      </text>
    </comment>
    <comment ref="B17" authorId="1" shapeId="0">
      <text>
        <r>
          <rPr>
            <sz val="11"/>
            <color indexed="81"/>
            <rFont val="Tahoma"/>
            <family val="2"/>
          </rPr>
          <t>Incluye:
a. Los importes que corresponden a la cuenta "Terrenos y Bienes Naturales" que, por su naturaleza, deben amortizarse. Por ejemplo: los Costes de Rehabilitación del Solar (movimiento de tierras, obras de saneamiento y drenaje, derribo de construcciones, gastos de inspección, levantamiento de planos, etc.), los Bienes Naturales (animales reproductores, árboles frutales, etc.) así como las Minas y Canteras.
b. Otro Inmovilizado Material, como por ejemplo: Envases, Embalajes y Repuestos, con un ciclo de almacenamiento superior a un año.
c. Los Inmovilizados Materiales en curso, es decir, que aún no estén en condiciones de funcionamiento.</t>
        </r>
      </text>
    </comment>
    <comment ref="B20" authorId="1" shapeId="0">
      <text>
        <r>
          <rPr>
            <sz val="11"/>
            <color indexed="81"/>
            <rFont val="Tahoma"/>
            <family val="2"/>
          </rPr>
          <t>Incluye los Gastos derivados de los Proyectos de I+D , incluidos los proyectos encargados a otras empresas o Instituciones de investigación, y que decidan activarse porque existen motivos fundados de éxito técnico y rentabilidad económica.
"Investigar", equivale a la búsqueda de nuevos conocimientos científicos y técnicos, de una forma continua y planificada. Lo cual equivale a adoptar una actitud de descubrir, indagar, aportar nuevas tecnologías, replantear procesos industriales, etc.
"Desarrollo", equivale a la aplicación de los logros conseguidos en la investigación, hasta que se inicie la producción industrial.</t>
        </r>
      </text>
    </comment>
    <comment ref="B21" authorId="1" shapeId="0">
      <text>
        <r>
          <rPr>
            <sz val="11"/>
            <color indexed="81"/>
            <rFont val="Tahoma"/>
            <family val="2"/>
          </rPr>
          <t>Incluye los importes satisfechos por la propiedad o el desarrollo de usar Programas Informáticos (software), así como los gastos del Desarrollo de las Páginas web.</t>
        </r>
      </text>
    </comment>
    <comment ref="B22" authorId="1" shapeId="0">
      <text>
        <r>
          <rPr>
            <sz val="11"/>
            <color indexed="81"/>
            <rFont val="Tahoma"/>
            <family val="2"/>
          </rPr>
          <t xml:space="preserve">Incluye: "Industrial Property Rights":
. Innovaciones Tecnológicas: Patentes de Invención o de Introducción y Certificados de Protección de Modelos de Utilidad.
. Innovaciones de Diseño Estético: Modelos, Diseños y Dibujos Industriales.
. Innovaciones de Imagen Distintiva: Marcas o Signos Distintivos y Nombres Comerciales.
</t>
        </r>
      </text>
    </comment>
    <comment ref="B23" authorId="1" shapeId="0">
      <text>
        <r>
          <rPr>
            <sz val="11"/>
            <color indexed="81"/>
            <rFont val="Tahoma"/>
            <family val="2"/>
          </rPr>
          <t>Incluye cantidades satisfechas por: el Fondo de Comercio, Derechos de Traspaso, Concesiones Administrativas, así como por: Derechos de Uso, Pactos de No Competencia, Cuotas de Producción, Derechos de Contaminación, etc.
. Cultura Empresarial, Capital Humano, Socios Comerciales o Tecnológicos, Reputación - Percepción Externa, etc.
. Dominios de Internet, Redes, etc..
. Imagen Corporativa.</t>
        </r>
      </text>
    </comment>
    <comment ref="B26" authorId="1" shapeId="0">
      <text>
        <r>
          <rPr>
            <sz val="11"/>
            <color indexed="81"/>
            <rFont val="Tahoma"/>
            <family val="2"/>
          </rPr>
          <t>Incluye cantidades satisfechas por el Coste de adquisición de los Inmuebles que la empresa No Usa para su actividad de Explotación, sino que los tiene para obtener Rentas o Plusvalías.</t>
        </r>
      </text>
    </comment>
    <comment ref="B29" authorId="1" shapeId="0">
      <text>
        <r>
          <rPr>
            <sz val="11"/>
            <color indexed="81"/>
            <rFont val="Tahoma"/>
            <family val="2"/>
          </rPr>
          <t>Incluye los importes entregados como Garantía del cumplimiento de una Obligación, o en concepto de Depósito Irregular, a plazo Superior a un Año.
También incluye importes por Compra de Acciones y Participaciones de empresas del grupo y vinculadas, Préstamos y Créditos no comerciales concedidos a LP e Imposiciones a LP.</t>
        </r>
      </text>
    </comment>
    <comment ref="B30" authorId="1" shapeId="0">
      <text>
        <r>
          <rPr>
            <sz val="11"/>
            <color indexed="81"/>
            <rFont val="Tahoma"/>
            <family val="2"/>
          </rPr>
          <t>Son Gastos para la Puesta en Marcha y Desarrollo de la Actividad de la empresa.
¡¡ Atención ¡¡
Contablemente, a partir del 2008, no deben reflejarse en el Activo del Balance, sino directamente en la Cuenta de Pérdidas y Ganancias  (de 1º Establecimiento) y en el Patrimonio Neto como menos Reservas (de Constitución),  es por lo que aparecen respectivamente como tal en la hoja 11 y en la hoja 14. 
Aunque, para la confección de este Plan Financiero en los proyectos de "Creación de nueva empresa", aparecen en esta columna del Activo del Balance, con el objetivo de que dichos importes hay que pagarlos en el momento inicial y por lo tanto hay que tenerlos en cuenta a la hora de calcular la necesidad inicial de Financiación (que hay que determinar en la hoja "3. Pasivos de Partida").</t>
        </r>
      </text>
    </comment>
    <comment ref="B31" authorId="1" shapeId="0">
      <text>
        <r>
          <rPr>
            <sz val="11"/>
            <color indexed="81"/>
            <rFont val="Tahoma"/>
            <family val="2"/>
          </rPr>
          <t xml:space="preserve">Incluye:
* Gastos de 1º establecimiento, originados por operaciones de naturaleza técnica y económica necesarios para arrancar la actividad de la empresa. 
Por ejemplo: gastos de viaje, estudios técnicos y económicos, publicidad de lanzamiento, captación y adiestramiento del personal, etc.
</t>
        </r>
      </text>
    </comment>
    <comment ref="B34" authorId="1" shapeId="0">
      <text>
        <r>
          <rPr>
            <sz val="11"/>
            <color indexed="81"/>
            <rFont val="Tahoma"/>
            <family val="2"/>
          </rPr>
          <t>Incluye las"Materias Primas", es decir, las que mediante su elaboración o transformación, se destinan a formar parte de los productos fabricados.</t>
        </r>
      </text>
    </comment>
    <comment ref="B35" authorId="1" shapeId="0">
      <text>
        <r>
          <rPr>
            <sz val="11"/>
            <color indexed="81"/>
            <rFont val="Tahoma"/>
            <family val="2"/>
          </rPr>
          <t>Incluye las "Mercaderías": bienes adquiridos por la empresa y destinados a la venta sin transformación, así como los "Productos Terminados": los fabricados por la empresa y destinados al consumo final o a su utilización por otras empresas.</t>
        </r>
      </text>
    </comment>
    <comment ref="B37" authorId="1" shapeId="0">
      <text>
        <r>
          <rPr>
            <sz val="11"/>
            <color indexed="81"/>
            <rFont val="Tahoma"/>
            <family val="2"/>
          </rPr>
          <t>Inlcuye los Derechos de Cobro, por créditos concedidos a los compradores de existencias y a los usuarios de servicios prestados por la empresa, que tengan la condición de clientes usuales de la misma.
- La previsión del Cobro de esta Deuda, se reflejará en las celdas ocultas C a N, fila 26, de la hoja "6. Cobros y Pagos".</t>
        </r>
      </text>
    </comment>
    <comment ref="B38" authorId="1" shapeId="0">
      <text>
        <r>
          <rPr>
            <sz val="11"/>
            <color indexed="81"/>
            <rFont val="Tahoma"/>
            <family val="2"/>
          </rPr>
          <t>Inlcuye los Derechos de Cobro, por créditos concedidos a los compradores de existencias y a los usuarios de servicios prestados por la empresa, que no tengan la condición estricta de clientes de la misma.
- La previsión del Cobro de esta Deuda, se reflejará en las celdas ocultas C a N, fila 27, de la hoja "6. Cobros y Pagos".</t>
        </r>
      </text>
    </comment>
    <comment ref="B39" authorId="1" shapeId="0">
      <text>
        <r>
          <rPr>
            <sz val="11"/>
            <color indexed="81"/>
            <rFont val="Tahoma"/>
            <family val="2"/>
          </rPr>
          <t>Incluye:
a. En "Empresas de Creación": el IVA Soportado pagado por la adquisición de los Activos de Partida.
Dicho importe quedará reflejado en la siguiente celda B41.
b. En "Empresas de Consolidación": el  saldo con "Hacienda Pública Deudora" (Por IVA Soportado, Por Retenciones y Pagos a Cuenta, Crédito por Pérdidas a Compensar (escribirlo con signo negativo), etc.) y "Organismos de la Seguridad Social Deudores", que aparezca reflejado en el Balance de cierre del ejercicio económico anterior al de inicio de la Planificación Financiera.
Dichos importes deben escribirse en las celdas E43 y E43
.</t>
        </r>
      </text>
    </comment>
    <comment ref="B42" authorId="1" shapeId="0">
      <text>
        <r>
          <rPr>
            <sz val="11"/>
            <color indexed="81"/>
            <rFont val="Tahoma"/>
            <family val="2"/>
          </rPr>
          <t>Incluye el Dinero en efectivo y los saldos en Bancos e Instituciones de Crédito.
Por cuestiones de operatividad este importe se va a obtener por diferencia entre el Total del Patrimonio Neto + Pasivo (datos de la hoja 4) menos resto de Activos (datos de la hoja 3). Y sólo será válido si es un número positivo ("número negro"), de lo contrario, si aparece negativo, querrá decir que se necesita más Financiación, a reflejar en la "hoja 4. Pasivos de Partida", para que el Balance de Partida esté equilibrado.</t>
        </r>
      </text>
    </comment>
  </commentList>
</comments>
</file>

<file path=xl/comments9.xml><?xml version="1.0" encoding="utf-8"?>
<comments xmlns="http://schemas.openxmlformats.org/spreadsheetml/2006/main">
  <authors>
    <author>Maria Vicenta Perez</author>
    <author>Manuel Núñez Bonilla</author>
    <author>M Vicenta Perez Silvestre</author>
  </authors>
  <commentList>
    <comment ref="C5" authorId="0" shapeId="0">
      <text>
        <r>
          <rPr>
            <sz val="10"/>
            <color indexed="81"/>
            <rFont val="Tahoma"/>
            <family val="2"/>
          </rPr>
          <t>Contribución de cada cuenta respecto al total del Patrimonio Neto mas Pasivo (=100%).</t>
        </r>
      </text>
    </comment>
    <comment ref="A8" authorId="1" shapeId="0">
      <text>
        <r>
          <rPr>
            <sz val="10"/>
            <color indexed="81"/>
            <rFont val="Tahoma"/>
            <family val="2"/>
          </rPr>
          <t xml:space="preserve">Aportaciones efectuadas en dinero, por los propietarios y/o socios de la empresa
</t>
        </r>
      </text>
    </comment>
    <comment ref="A10" authorId="1" shapeId="0">
      <text>
        <r>
          <rPr>
            <sz val="10"/>
            <color indexed="81"/>
            <rFont val="Tahoma"/>
            <family val="2"/>
          </rPr>
          <t>Aportaciones efectuadas por los propietarios y/o socios de la empresa, en forma de bienes.
Si ha reflejado dato alguno en las celdas de la columna B (9-17; 20-25) de la hoja 5, se copiará aquí automáticamente.</t>
        </r>
      </text>
    </comment>
    <comment ref="A12" authorId="1" shapeId="0">
      <text>
        <r>
          <rPr>
            <sz val="10"/>
            <color indexed="81"/>
            <rFont val="Tahoma"/>
            <family val="2"/>
          </rPr>
          <t>Formado por los Beneficios generados por la empresa y que, por imperativo legal, no han sido repartidos entre los propietarios y/o socios de la misma.</t>
        </r>
      </text>
    </comment>
    <comment ref="A13" authorId="1" shapeId="0">
      <text>
        <r>
          <rPr>
            <sz val="10"/>
            <color indexed="81"/>
            <rFont val="Tahoma"/>
            <family val="2"/>
          </rPr>
          <t>Formado por los Beneficios generados por la empresa y que, voluntariamente, no han sido repartidos entre los propietarios y/o socios de la misma.</t>
        </r>
        <r>
          <rPr>
            <sz val="8"/>
            <color indexed="81"/>
            <rFont val="Tahoma"/>
            <family val="2"/>
          </rPr>
          <t xml:space="preserve">
</t>
        </r>
      </text>
    </comment>
    <comment ref="A14" authorId="1" shapeId="0">
      <text>
        <r>
          <rPr>
            <sz val="10"/>
            <color indexed="81"/>
            <rFont val="Tahoma"/>
            <family val="2"/>
          </rPr>
          <t>Resultados Pendientes de Aplicación, correspondientes al Remanente, a Resultados Negativos de ejercicios anteriores y a Aportaciones de los socios por compensación de Pérdidas.</t>
        </r>
      </text>
    </comment>
    <comment ref="A15" authorId="2" shapeId="0">
      <text>
        <r>
          <rPr>
            <sz val="9"/>
            <color indexed="81"/>
            <rFont val="Tahoma"/>
            <family val="2"/>
          </rPr>
          <t xml:space="preserve">Cantidades recibidas por la empresa, otorgadas por otras empresas, particulares y/o instituciones públicas, que no sean reintegrables, y siempre que se cumplan determinadas condiciones previamente establecidas.
</t>
        </r>
      </text>
    </comment>
    <comment ref="A16" authorId="1" shapeId="0">
      <text>
        <r>
          <rPr>
            <sz val="10"/>
            <color indexed="81"/>
            <rFont val="Tahoma"/>
            <family val="2"/>
          </rPr>
          <t>Cantidad recibida de un tercero, a quien se le abonarán una parte de intereses a tipo fijo (mensuales, trimestrales o semestrales) y otra a tipo variable (liquidable, normalmente, una vez al año, y está vinculado a la evolución de la actividad de la empresa).
Tiene un rango de exibilidad subordinado a cualquier otro crédito u obligación de la empresa, situándose después de los acreedores comunes en el orden de preferencia de devolución de sus deudas, y sólo delante de los socios de ésta, por lo que lleva al prestamista a asumir un riesgo similar al de los propietarios.
Pasar a la oculta"(0) 3a. Prestam Particip", para reflejar las características.</t>
        </r>
      </text>
    </comment>
    <comment ref="A19" authorId="1" shapeId="0">
      <text>
        <r>
          <rPr>
            <sz val="10"/>
            <color indexed="81"/>
            <rFont val="Tahoma"/>
            <family val="2"/>
          </rPr>
          <t>Nominal de la deuda contraida con una entidad de crédito, por préstamos recibidos en el momento de partida, con vencimiento superior a un año.
Pasar a la hoja oculta "(0) 3b ...", columna oculta R, para reflejar las características.</t>
        </r>
      </text>
    </comment>
    <comment ref="A24" authorId="1" shapeId="0">
      <text>
        <r>
          <rPr>
            <sz val="10"/>
            <color indexed="81"/>
            <rFont val="Tahoma"/>
            <family val="2"/>
          </rPr>
          <t>Deuda contraída con una entidad de financiera por disposiciones de créditos concedidos a corto plazo. Como por ejemplo: dispuestos de póliza de crédito, descuento de efectos o anticipos de crédito.
- El importe que escriba en esta celda se considerará como Crédito Dispuesto, pasando a reflejarse, de forma automática, en la celda DE 54, de la hoja "7. Tesorería..."</t>
        </r>
      </text>
    </comment>
    <comment ref="A25" authorId="1" shapeId="0">
      <text>
        <r>
          <rPr>
            <sz val="10"/>
            <color indexed="81"/>
            <rFont val="Tahoma"/>
            <family val="2"/>
          </rPr>
          <t>Deudas con:
"Proveedores": suministradores de mercancías y demás bienes reflejados en existencias, así como con los suministradores de servicios.
"Acreedores varios": suministradores de bienes y servicios que no tienen la condición estricta de proveedores.
- La previsión del Pago de esta Deuda, se reflejará en las celdas C a N, fila 57, de la hoja "6. Cobros y Pagos ..."</t>
        </r>
      </text>
    </comment>
    <comment ref="A26" authorId="1" shapeId="0">
      <text>
        <r>
          <rPr>
            <sz val="10"/>
            <color indexed="81"/>
            <rFont val="Tahoma"/>
            <family val="2"/>
          </rPr>
          <t>Saldo acreedor de Cuentas Corrientes de efectivo con socios, administradores y cualquiera otra persona natural o jurídica que no sea Banco o Institución de crédito, ni cliente o proveedor de la empresa.
- Si se prevé devolver todo, o parte, de esta Deuda durante el 1º ejerc. econ., dicho pago debe reflejarse en las celdas B a M, fila 38, de la hoja "8. Tesorería (Ej. 1º,2º)".</t>
        </r>
      </text>
    </comment>
    <comment ref="A27" authorId="1" shapeId="0">
      <text>
        <r>
          <rPr>
            <sz val="10"/>
            <color indexed="81"/>
            <rFont val="Tahoma"/>
            <family val="2"/>
          </rPr>
          <t>Remuneraciones Pendientes de Pago al personal que presta su servicio a la empresa, por Sueldos y Salarios e Indemnizaciones.
- La previsión del Pago de esta Deuda, se reflejará en las celdas C a N, fila 58, de la hoja "6. Cobros y Pagos ..."</t>
        </r>
      </text>
    </comment>
    <comment ref="A29" authorId="1" shapeId="0">
      <text>
        <r>
          <rPr>
            <sz val="10"/>
            <color indexed="81"/>
            <rFont val="Tahoma"/>
            <family val="2"/>
          </rPr>
          <t>Deudas pendientes de pago con Organismos de la Seg. Social, como consecuencia de las prestaciones que éstos realizan.
- La previsión del Pago de esta Deuda, se reflejará en las celdas C a N, fila 59, de la hoja "6. Cobros y Pagos ..."</t>
        </r>
      </text>
    </comment>
    <comment ref="A30" authorId="1" shapeId="0">
      <text>
        <r>
          <rPr>
            <sz val="10"/>
            <color indexed="81"/>
            <rFont val="Tahoma"/>
            <family val="2"/>
          </rPr>
          <t>Importe a favor de la Administración Pública, por: tributos pendientes de pago, por exceso de IVA Repercutido, por Retenciones practicadas, por Subvenciones a reintegrar, etc.
- La previsión del Pago de esta Deuda, se reflejará en las celdas C a N, fila 59, de la hoja "6. Cobros y Pagos ..."</t>
        </r>
      </text>
    </comment>
    <comment ref="B36" authorId="1" shapeId="0">
      <text>
        <r>
          <rPr>
            <sz val="9"/>
            <color indexed="81"/>
            <rFont val="Tahoma"/>
            <family val="2"/>
          </rPr>
          <t>Si el importe que aparece en esta celda (que es igual a la B44 de la hoja 2) es negativo, indica que:
. necesita conseguir más Financiación, que debe reflejar en esta hoja, para poder llevar a cabo las Inversiones indicadas en la hoja 3, o 
. debe reducir el importe o número de las Inversiones  de la hoja 3.</t>
        </r>
        <r>
          <rPr>
            <sz val="11"/>
            <color indexed="81"/>
            <rFont val="Tahoma"/>
            <family val="2"/>
          </rPr>
          <t xml:space="preserve">
</t>
        </r>
      </text>
    </comment>
  </commentList>
</comments>
</file>

<file path=xl/sharedStrings.xml><?xml version="1.0" encoding="utf-8"?>
<sst xmlns="http://schemas.openxmlformats.org/spreadsheetml/2006/main" count="4300" uniqueCount="873">
  <si>
    <t>Concepto</t>
  </si>
  <si>
    <t>Inmovilizado Material</t>
  </si>
  <si>
    <t>Gastos Amortizables</t>
  </si>
  <si>
    <t>Total Inmovilizado</t>
  </si>
  <si>
    <t>Existencias</t>
  </si>
  <si>
    <t>Total Activo</t>
  </si>
  <si>
    <t>Capital</t>
  </si>
  <si>
    <t>Total</t>
  </si>
  <si>
    <t>Tesorería</t>
  </si>
  <si>
    <t>Interés</t>
  </si>
  <si>
    <t>Años</t>
  </si>
  <si>
    <t>Intereses</t>
  </si>
  <si>
    <t>Nº. Pagos por año</t>
  </si>
  <si>
    <t>Periodos</t>
  </si>
  <si>
    <t>Cuota</t>
  </si>
  <si>
    <t>Capital Pendiente</t>
  </si>
  <si>
    <t>Totales</t>
  </si>
  <si>
    <t>Enero</t>
  </si>
  <si>
    <t>Febrero</t>
  </si>
  <si>
    <t>Marzo</t>
  </si>
  <si>
    <t>Abril</t>
  </si>
  <si>
    <t>Mayo</t>
  </si>
  <si>
    <t>Junio</t>
  </si>
  <si>
    <t>Julio</t>
  </si>
  <si>
    <t>Agosto</t>
  </si>
  <si>
    <t>Septiembre</t>
  </si>
  <si>
    <t>Octubre</t>
  </si>
  <si>
    <t>Noviembre</t>
  </si>
  <si>
    <t>Diciembre</t>
  </si>
  <si>
    <t>Margen Bruto s/Ventas</t>
  </si>
  <si>
    <t>Dotación Amortizaciones</t>
  </si>
  <si>
    <t>Gastos Financieros</t>
  </si>
  <si>
    <t>Resultado Financiero</t>
  </si>
  <si>
    <t>Beneficio Bruto:</t>
  </si>
  <si>
    <t>Beneficio Neto:</t>
  </si>
  <si>
    <t>Plan de Tesorería</t>
  </si>
  <si>
    <t>Gastos financieros</t>
  </si>
  <si>
    <t>%</t>
  </si>
  <si>
    <t>Conceptos</t>
  </si>
  <si>
    <t>AAIM</t>
  </si>
  <si>
    <t>AAII</t>
  </si>
  <si>
    <t>Total Inversión</t>
  </si>
  <si>
    <t>Mes</t>
  </si>
  <si>
    <t xml:space="preserve">   Inmovilizado Financiero</t>
  </si>
  <si>
    <t xml:space="preserve">   Gastos Amortizables Netos</t>
  </si>
  <si>
    <t xml:space="preserve">   Existencias</t>
  </si>
  <si>
    <t xml:space="preserve">   Capital</t>
  </si>
  <si>
    <t>Total Recursos Permanentes</t>
  </si>
  <si>
    <t>Total Recursos Ajenos</t>
  </si>
  <si>
    <t>Fondo de Maniobra</t>
  </si>
  <si>
    <t>Volumen de Ventas a partir del cual se genera Beneficio</t>
  </si>
  <si>
    <t>Existencias Iniciales</t>
  </si>
  <si>
    <t>Total Anual</t>
  </si>
  <si>
    <t xml:space="preserve">   Acreedores Comerciales</t>
  </si>
  <si>
    <t>Capital del Crédito</t>
  </si>
  <si>
    <t>Contado</t>
  </si>
  <si>
    <t>a 30 días</t>
  </si>
  <si>
    <t>a 60 días</t>
  </si>
  <si>
    <t>a 90 días</t>
  </si>
  <si>
    <t>a 120 días</t>
  </si>
  <si>
    <t>a 150 días</t>
  </si>
  <si>
    <t>a 180 días</t>
  </si>
  <si>
    <t>Total Entradas (2)</t>
  </si>
  <si>
    <t>Total Salidas (3)</t>
  </si>
  <si>
    <t>Carga financiera</t>
  </si>
  <si>
    <t>Recuperación coste</t>
  </si>
  <si>
    <t>Carga Financiera</t>
  </si>
  <si>
    <t>Recuperac. Coste</t>
  </si>
  <si>
    <t>Totales anuales</t>
  </si>
  <si>
    <t xml:space="preserve">Beneficio Antes de Intereses e Impuestos / Activo Total </t>
  </si>
  <si>
    <t>Crédito establecido en el año:</t>
  </si>
  <si>
    <t>Capital en Leasing</t>
  </si>
  <si>
    <t>Recuperac Coste</t>
  </si>
  <si>
    <t>Leasing establecido el año:</t>
  </si>
  <si>
    <t>Cuadro de Amortización del Leasing - 1</t>
  </si>
  <si>
    <t>de actividad</t>
  </si>
  <si>
    <t>Retenciones IRPF</t>
  </si>
  <si>
    <t>IRPF a Liquidar</t>
  </si>
  <si>
    <t>IVA a Liquidar</t>
  </si>
  <si>
    <t>Coste Anual</t>
  </si>
  <si>
    <t>(*) Sólo para empresas en funcionamiento.</t>
  </si>
  <si>
    <t>Realizable</t>
  </si>
  <si>
    <t>Gastos apertura</t>
  </si>
  <si>
    <t>Total Ventas</t>
  </si>
  <si>
    <t xml:space="preserve">% Contribución </t>
  </si>
  <si>
    <t>CONCEPTO</t>
  </si>
  <si>
    <t>Cuadro de Amortización del Leasing - 2</t>
  </si>
  <si>
    <t>Cuadro de Amortización del Leasing - 5</t>
  </si>
  <si>
    <t>Cuadro de Amortización del Leasing - Inicial</t>
  </si>
  <si>
    <t>Cuadro de Amortización del Leasing - 3</t>
  </si>
  <si>
    <t>Cuadro de Amortización del Leasing - 4</t>
  </si>
  <si>
    <t>¿Empresa ya constituida y con actividad anterior?</t>
  </si>
  <si>
    <t>ACTIVO TOTAL</t>
  </si>
  <si>
    <t>ACTIVO</t>
  </si>
  <si>
    <t>Creación de Nueva Empresa</t>
  </si>
  <si>
    <t>Inmovilizado Financiero</t>
  </si>
  <si>
    <t>Consolidación - Empresas en Funcionamiento</t>
  </si>
  <si>
    <t>Periodos de Carencia</t>
  </si>
  <si>
    <t>Cuadro de Amortización del Crédito Inicial</t>
  </si>
  <si>
    <t>Activos de Partida</t>
  </si>
  <si>
    <t>Inmovilizado Intangible</t>
  </si>
  <si>
    <t>Inversiones Inmobiliarias</t>
  </si>
  <si>
    <t>Terrenos, Bienes Naturales y Construcciones</t>
  </si>
  <si>
    <t>PATRIMONIO NETO y PASIVO</t>
  </si>
  <si>
    <t>% sobre el Total</t>
  </si>
  <si>
    <t>Mercaderías / Productos Terminados</t>
  </si>
  <si>
    <t>ACTIVO CORRIENTE ("Circulante")</t>
  </si>
  <si>
    <t>ACTIVO NO CORRIENTE ("Inmovilizado")</t>
  </si>
  <si>
    <t>Ventas (Ingresos)</t>
  </si>
  <si>
    <t>Coste de Ventas (Costes Variables)</t>
  </si>
  <si>
    <t xml:space="preserve">Cuadro de Amortización Contable </t>
  </si>
  <si>
    <t>Resumen Cuentas de Pérdidas y Ganancias, o de Resultados</t>
  </si>
  <si>
    <t>Resumen Balances de Situación</t>
  </si>
  <si>
    <t>Resultado Operativo (EBITDA)</t>
  </si>
  <si>
    <t xml:space="preserve">Total Gastos de Explotación </t>
  </si>
  <si>
    <t>Resultado de Explotación (EBIT) o (BAII)</t>
  </si>
  <si>
    <t>Resultado Antes de Impuestos (EBT) o (BAI)</t>
  </si>
  <si>
    <t>Resultado Acumulado Ejercicio Antes de Impuestos</t>
  </si>
  <si>
    <t xml:space="preserve">Resultado Neto </t>
  </si>
  <si>
    <t>Activo No Corriente ("Inmovilizado")</t>
  </si>
  <si>
    <t>Activo Corriente ("Circulante")</t>
  </si>
  <si>
    <t>Tesorería Inicial (Disponible)</t>
  </si>
  <si>
    <t>Deudores (Realizable)</t>
  </si>
  <si>
    <t>XXX</t>
  </si>
  <si>
    <t>Activo Inicial</t>
  </si>
  <si>
    <t>Importe</t>
  </si>
  <si>
    <t xml:space="preserve">   Acreedores C.P. Financieros - Créditos</t>
  </si>
  <si>
    <t>Pasivo No Corriente ("Exigible a LP")</t>
  </si>
  <si>
    <t>Pasivo Corriente ("Exigible a CP")</t>
  </si>
  <si>
    <t>Inversiones Financiadas con Tesorería</t>
  </si>
  <si>
    <t>Inv. Financiadas con Ampliación de Capital</t>
  </si>
  <si>
    <t>% SS Empresa</t>
  </si>
  <si>
    <t>% Variación Sueldos</t>
  </si>
  <si>
    <t>% Retención IRPF</t>
  </si>
  <si>
    <t>Sueldo Neto Anual</t>
  </si>
  <si>
    <t>Importe Retención IRPF</t>
  </si>
  <si>
    <t>Cobro de Ventas + IVA Repercutido</t>
  </si>
  <si>
    <t>Cobro Deudas Pdtes (de Clientes y Otros Deudores)</t>
  </si>
  <si>
    <t>Tipo Impositivo Medio:</t>
  </si>
  <si>
    <t>Sueldo Bruto Anual</t>
  </si>
  <si>
    <t>Otros Gastos Personal Anual</t>
  </si>
  <si>
    <t>Total Coste Empresa Anual</t>
  </si>
  <si>
    <t>Sueldos y Salarios (del Periodo Anterior)</t>
  </si>
  <si>
    <t>Recuperación Coste Leasing</t>
  </si>
  <si>
    <t>Saldo Inicial (1)</t>
  </si>
  <si>
    <t>Liquidación IRPF (5)</t>
  </si>
  <si>
    <t>Liquidación Trimestral del I.V.A. (4)</t>
  </si>
  <si>
    <t>Pdte Pago</t>
  </si>
  <si>
    <t>Comisión No Dispuesto</t>
  </si>
  <si>
    <t>Retención a Cta IRPF del Pago de Dividendos</t>
  </si>
  <si>
    <t>TOTAL</t>
  </si>
  <si>
    <t>Reembolsos de Créditos a CP</t>
  </si>
  <si>
    <t>Reembolsos Crédito a CP</t>
  </si>
  <si>
    <t>Disposiciones Crédito a CP</t>
  </si>
  <si>
    <t>TOTAL Dispuesto de Crédito</t>
  </si>
  <si>
    <t>Disposiciones de Crédito a CP</t>
  </si>
  <si>
    <t xml:space="preserve">Saldo Dispuesto de Crédito a CP </t>
  </si>
  <si>
    <t>Euros</t>
  </si>
  <si>
    <t>Plazos de Cobro</t>
  </si>
  <si>
    <t>Plazos de Pago</t>
  </si>
  <si>
    <t>Estructura de Ventas y de Márgenes</t>
  </si>
  <si>
    <t>Fórmulas</t>
  </si>
  <si>
    <t>Rentabilidad</t>
  </si>
  <si>
    <t>Liquidez y Solvencia</t>
  </si>
  <si>
    <t>Endeudamiento y Autonomía Financiera</t>
  </si>
  <si>
    <t>Plazos</t>
  </si>
  <si>
    <t>1. ROE (Return On Equity)  - Rentabilidad Financiera</t>
  </si>
  <si>
    <t>2. ROI (Return On Investment)  - Rentabilidad Económica</t>
  </si>
  <si>
    <t>Beneficio Antes de Intereses, Impuestos y Amortizaciones / Ventas Totales</t>
  </si>
  <si>
    <t>1. Solvencia</t>
  </si>
  <si>
    <t>3. Disponibilidad</t>
  </si>
  <si>
    <t>2. Tesorería (Prueba Ácida)</t>
  </si>
  <si>
    <t>Disponible / Pasivo Corriente</t>
  </si>
  <si>
    <t>1. Plazo Medio de Cobro (días)</t>
  </si>
  <si>
    <t>2. Plazo Medio de Pago (días)</t>
  </si>
  <si>
    <t>(Clientes / Ventas) x 365</t>
  </si>
  <si>
    <t>(Realizable + Disponible) / Pasivo Corriente</t>
  </si>
  <si>
    <t>Punto Muerto (Crítico) o Punto de Equilibrio o Umbral de Rentabilidad</t>
  </si>
  <si>
    <t>Patrimonio Neto - Recursos Propios</t>
  </si>
  <si>
    <t>Total Patrimonio Neto y Pasivo</t>
  </si>
  <si>
    <t xml:space="preserve">   Tesorería (Disponible)</t>
  </si>
  <si>
    <t>(Beneficio Neto + Amortizaciones)  / Acreedores Financieros</t>
  </si>
  <si>
    <t xml:space="preserve">1. Endeudamiento </t>
  </si>
  <si>
    <t>Devolución del Capital</t>
  </si>
  <si>
    <t>Ventas Totales / Punto Crítico</t>
  </si>
  <si>
    <t>Coeficiente de Seguridad</t>
  </si>
  <si>
    <t xml:space="preserve">Distribución 
(en %) </t>
  </si>
  <si>
    <t>A Reservas Legales Obligatorias</t>
  </si>
  <si>
    <t>Provisión Impuesto sobre Beneficios</t>
  </si>
  <si>
    <t>Provisión Impuesto sobre Beneficios:</t>
  </si>
  <si>
    <t>(Acreedores Comerciales / Compras) x 365</t>
  </si>
  <si>
    <t>Trabajos Realizados por Otras Empresas</t>
  </si>
  <si>
    <t>Resumen - Plan de Inversiones</t>
  </si>
  <si>
    <t>Interés Cantidades Dispuestas</t>
  </si>
  <si>
    <t>Coste SS Empresa y/o RETA Anual</t>
  </si>
  <si>
    <t>Es conveniente que lea dicho comentario, ya que puede aclarar la operatividad y/o significado del concepto al que hace referencia.</t>
  </si>
  <si>
    <t>A Reservas Voluntarias</t>
  </si>
  <si>
    <t>Compras del Periodo</t>
  </si>
  <si>
    <t>Total IVA Soportado por Compras</t>
  </si>
  <si>
    <t>% Medio de IVA del Coste de Ventas</t>
  </si>
  <si>
    <t>Patrimonio Neto y Pasivos de Partida</t>
  </si>
  <si>
    <t>Importes de los Activos de Partida</t>
  </si>
  <si>
    <t>Total IVA Repercutido por Ventas</t>
  </si>
  <si>
    <t>% sobre Ventas</t>
  </si>
  <si>
    <t>Descuadre (Activo / P. Neto + Pasivo)</t>
  </si>
  <si>
    <t>% sobre Total</t>
  </si>
  <si>
    <t>Pagos Pdtes a Salarios a Pagar</t>
  </si>
  <si>
    <t>Pagos Pdtes a Administraciones Públicas</t>
  </si>
  <si>
    <t>Cobros Pdtes de Clientes</t>
  </si>
  <si>
    <t xml:space="preserve">Cobros Pdtes de Otros Deudores </t>
  </si>
  <si>
    <t>Coste Financiero</t>
  </si>
  <si>
    <t xml:space="preserve">   Realizable (Clientes, Deudores y H.P. Deudora)</t>
  </si>
  <si>
    <t>Punto de Equilibrio:</t>
  </si>
  <si>
    <t>Nº Trabajadores Productivos</t>
  </si>
  <si>
    <t xml:space="preserve"> Euros / Hora</t>
  </si>
  <si>
    <t>Hs Trabajo Productivas / Día</t>
  </si>
  <si>
    <t>Días Productivos / Mes</t>
  </si>
  <si>
    <t>Resultado Antes de Impuestos y Res. Excepcionales</t>
  </si>
  <si>
    <t>Nº Pagos por Año</t>
  </si>
  <si>
    <t>Plazo de Recuperación de la Inversión (Pay-Back)</t>
  </si>
  <si>
    <t>Fecha de redacción del Plan Financiero:</t>
  </si>
  <si>
    <t xml:space="preserve">% IVA Soportado </t>
  </si>
  <si>
    <t xml:space="preserve">Importe IVA </t>
  </si>
  <si>
    <t>EBIT / Gastos Financieros</t>
  </si>
  <si>
    <t>Gastos de Formalización</t>
  </si>
  <si>
    <t>Clientes *</t>
  </si>
  <si>
    <t>Otros Deudores *</t>
  </si>
  <si>
    <t>Compras Pdtes</t>
  </si>
  <si>
    <t>Años que comprende el Ejercicio:</t>
  </si>
  <si>
    <t>% Inversión Total Ejerc.</t>
  </si>
  <si>
    <t>Meses Productivos / Año (Ejercicio Económico)</t>
  </si>
  <si>
    <t xml:space="preserve"> Hs / Año (Ejerc. Ec.)</t>
  </si>
  <si>
    <t>Variación respecto al ejerc. anterior</t>
  </si>
  <si>
    <t>Totales por Ejercicio
Operaciones de Préstamos</t>
  </si>
  <si>
    <t>Tasa de Amortización Calculada        (en %)</t>
  </si>
  <si>
    <t>PATRIMONIO NETO y PASIVO TOTAL</t>
  </si>
  <si>
    <t>(NS: Porcentaje No Significativo)</t>
  </si>
  <si>
    <t>(NS: Ratio No Significativo)</t>
  </si>
  <si>
    <t>IVA Soportado de los Costes Variables 1</t>
  </si>
  <si>
    <t>Pago de Compras y Otros Costes Variables + IVA Soportado</t>
  </si>
  <si>
    <t>IVA Soportado por Otros C. Variables</t>
  </si>
  <si>
    <t>(Recursos Propios + Pasivo Exigible a LP) - Activo No Corriente, o
(Activo Corriente - Pasivo Corriente)</t>
  </si>
  <si>
    <t>Pdte. Cobro</t>
  </si>
  <si>
    <t>Variación respecto al mes anterior</t>
  </si>
  <si>
    <t>A Resultados Pendientes de Aplicación</t>
  </si>
  <si>
    <t>Costes Directos Variables (a)</t>
  </si>
  <si>
    <t>Hac. Pública Deudora por IVA Soportado</t>
  </si>
  <si>
    <t>Org. Seg. Social Deudores y Hac. Pública Deudora (Retencines y Otros Conceptos)</t>
  </si>
  <si>
    <t>PATRIMONIO NETO - Recursos Propios (No Exigible)</t>
  </si>
  <si>
    <t>PASIVO - Recursos Ajenos (Exigible)</t>
  </si>
  <si>
    <t>Ventas 
(en euros)</t>
  </si>
  <si>
    <t>% / Ventas</t>
  </si>
  <si>
    <t>Costes 
(en euros)</t>
  </si>
  <si>
    <t>% / Costes</t>
  </si>
  <si>
    <t>Margen 
(en euros)</t>
  </si>
  <si>
    <t>% Margen / Ventas</t>
  </si>
  <si>
    <t>Coste Fijo (o de Estructura) / Hora:</t>
  </si>
  <si>
    <t>Hs estimadas Trabajo Productivas / Año (Ejercicio Económico)</t>
  </si>
  <si>
    <t xml:space="preserve">Cobros por Deudas Pendientes </t>
  </si>
  <si>
    <t xml:space="preserve">Pagos por Deudas Pendientes </t>
  </si>
  <si>
    <t>Resumen por Forma de Financiación</t>
  </si>
  <si>
    <t xml:space="preserve">   Remanente y Resultados Ejerc. Anteriores</t>
  </si>
  <si>
    <t>Activo Total / Pasivo Total</t>
  </si>
  <si>
    <t>Pasivo Total / (Pasivo Total + Patrimonio Neto)</t>
  </si>
  <si>
    <t xml:space="preserve">3. EBITDA sobre Ventas </t>
  </si>
  <si>
    <t>Uds a vender o Euros a facturar</t>
  </si>
  <si>
    <t>a 45 días</t>
  </si>
  <si>
    <t>a 210 días</t>
  </si>
  <si>
    <t>a 240 días</t>
  </si>
  <si>
    <t>Cargas Sociales (RETA y Seg Soc a Cargo Emp)</t>
  </si>
  <si>
    <t>Importe Sueldo Bruto ANUAL</t>
  </si>
  <si>
    <t>Total Coste Empresa ANUAL</t>
  </si>
  <si>
    <t>Sueldos y Salarios (Empleados)</t>
  </si>
  <si>
    <t>Sueldos y Salarios (Socios)</t>
  </si>
  <si>
    <t>Arrendamiento Pdte de Pago</t>
  </si>
  <si>
    <t xml:space="preserve">   Salarios y Arrendamientos a Pagar</t>
  </si>
  <si>
    <t>Sueldos y Salarios de Socios Pdtes Devolución</t>
  </si>
  <si>
    <t>Cash-Flow Económico 1</t>
  </si>
  <si>
    <t>Sueldos y Salarios (Socios y Empleados)</t>
  </si>
  <si>
    <t>Beneficio Neto / Recursos Propios Totales</t>
  </si>
  <si>
    <t>A Inversores Externos (Pago Dividendos)</t>
  </si>
  <si>
    <t>Pagos Pdtes a Acreed. Comerciales a CP</t>
  </si>
  <si>
    <t>TIR (Tasa Interna de Rentabilidad)</t>
  </si>
  <si>
    <t>Tasa de Descuento Apropiada</t>
  </si>
  <si>
    <t>VAN (Valor Actual Neto o Valor Capital)</t>
  </si>
  <si>
    <t>Valor Actual, en términos absolutos, de un proyecto de Inversión</t>
  </si>
  <si>
    <t>Tasa de Descuento que hace que el VAN de un proyecto sea 0.</t>
  </si>
  <si>
    <t>Inversión</t>
  </si>
  <si>
    <t>Cash-Flow 1</t>
  </si>
  <si>
    <t>Cash-Flow 2</t>
  </si>
  <si>
    <t>Cash-Flow 3</t>
  </si>
  <si>
    <t>Cash-Flow 4</t>
  </si>
  <si>
    <t>Cash-Flow 5</t>
  </si>
  <si>
    <t xml:space="preserve">    Aportaciones en especie</t>
  </si>
  <si>
    <t>% Seg.S a Cargo del Trabajador</t>
  </si>
  <si>
    <t>% Seg.S a Cargo de la Empresa</t>
  </si>
  <si>
    <t>RETA ANUAL y Seg.S</t>
  </si>
  <si>
    <t>Subtotal A (Socios)</t>
  </si>
  <si>
    <t>Subtotal B (Empleados)</t>
  </si>
  <si>
    <t>TOTAL (A + B)</t>
  </si>
  <si>
    <t>A Inversores Internos y Externos (Pago Dividendos)</t>
  </si>
  <si>
    <t>Margen Bruto s/ Ventas</t>
  </si>
  <si>
    <t>a) Si se conoce:</t>
  </si>
  <si>
    <t>b) Si se conoce:</t>
  </si>
  <si>
    <t>Margen Comercial s/ Costes</t>
  </si>
  <si>
    <t>Calcular:</t>
  </si>
  <si>
    <t>Precio Venta Unitario (sin IVA)</t>
  </si>
  <si>
    <t>EBITDA</t>
  </si>
  <si>
    <t>Recursos Propios</t>
  </si>
  <si>
    <t>NOTA INFORMATIVA:</t>
  </si>
  <si>
    <r>
      <t xml:space="preserve">Margen Bruto s/ Ventas </t>
    </r>
    <r>
      <rPr>
        <sz val="8"/>
        <color indexed="61"/>
        <rFont val="Times New Roman"/>
        <family val="1"/>
      </rPr>
      <t>(en %)</t>
    </r>
  </si>
  <si>
    <r>
      <t xml:space="preserve">Margen Comercial s/ Costes </t>
    </r>
    <r>
      <rPr>
        <sz val="8"/>
        <color indexed="63"/>
        <rFont val="Times New Roman"/>
        <family val="1"/>
      </rPr>
      <t>(en %)</t>
    </r>
  </si>
  <si>
    <r>
      <t xml:space="preserve">Precio Coste D V Unitario (sin IVA)  </t>
    </r>
    <r>
      <rPr>
        <sz val="8"/>
        <color indexed="51"/>
        <rFont val="Times New Roman"/>
        <family val="1"/>
      </rPr>
      <t>(en euros)</t>
    </r>
  </si>
  <si>
    <r>
      <t xml:space="preserve">Precio Venta Unitario (sin IVA) </t>
    </r>
    <r>
      <rPr>
        <sz val="8"/>
        <color indexed="60"/>
        <rFont val="Times New Roman"/>
        <family val="1"/>
      </rPr>
      <t>(en euros)</t>
    </r>
  </si>
  <si>
    <r>
      <t xml:space="preserve">Precio Coste D V Unitario (sin IVA) </t>
    </r>
    <r>
      <rPr>
        <sz val="8"/>
        <color indexed="51"/>
        <rFont val="Times New Roman"/>
        <family val="1"/>
      </rPr>
      <t>(en euros)</t>
    </r>
  </si>
  <si>
    <t>Propuesta Aplicación del Resultado entre Accionistas (Inversores Internos y Externos)</t>
  </si>
  <si>
    <t>(Liquidación Trimestral del IVA)</t>
  </si>
  <si>
    <t>% Variación RETA y SS</t>
  </si>
  <si>
    <t>Objetivos Económico-Financieros</t>
  </si>
  <si>
    <t>Indicadores Económico-Financieros</t>
  </si>
  <si>
    <t>Ventas, Márgenes, Beneficios y Cash-Flow</t>
  </si>
  <si>
    <t>Liquidez, Garantía, Rentabilidad, Endeudamiento y Seguridad</t>
  </si>
  <si>
    <t>Inversión en Inmovilizado</t>
  </si>
  <si>
    <t>(Activo No Corriente)</t>
  </si>
  <si>
    <t>Inversión en Circulante</t>
  </si>
  <si>
    <t>Ventas Previstas</t>
  </si>
  <si>
    <t>(Activo Corriente)</t>
  </si>
  <si>
    <t>(Ingresos)</t>
  </si>
  <si>
    <t>(% s/ Total Activo)</t>
  </si>
  <si>
    <t>INVERSIÓN TOTAL</t>
  </si>
  <si>
    <t>Crecimiento de las Ventas</t>
  </si>
  <si>
    <t>(Inmovilizado + Circulante)</t>
  </si>
  <si>
    <t>=</t>
  </si>
  <si>
    <t>FINANCIACIÓN TOTAL</t>
  </si>
  <si>
    <t>(Propia + Ajena)</t>
  </si>
  <si>
    <t>(Patrimonio Neto)</t>
  </si>
  <si>
    <t>Recursos Ajenos</t>
  </si>
  <si>
    <t>(Pasivo No Corriente + Pasivo Corriente)</t>
  </si>
  <si>
    <t>(Margen Bruto: Ventas - Coste de Ventas o Coste Directo Variable)</t>
  </si>
  <si>
    <t>(EBITDA: Earnig Before Interest, Taxes, Amortization and Depreciation = Resultado antes de Intereses, Impuestos y Amortizaciones)</t>
  </si>
  <si>
    <t>(EBIT: Earnig Before Interest and Taxes = Resultado antes de Intereses e Impuestos)</t>
  </si>
  <si>
    <t>(Cash-Flow = Beneficio Neto + Amortizaciones)</t>
  </si>
  <si>
    <t>años</t>
  </si>
  <si>
    <t>(% s/ Total Patrim. Neto + Pasivo)</t>
  </si>
  <si>
    <t>TOTAL Nº Puestos de Trabajo</t>
  </si>
  <si>
    <t>Nº Puestos de Trabajo</t>
  </si>
  <si>
    <t>(3º año)</t>
  </si>
  <si>
    <t>(4º año)</t>
  </si>
  <si>
    <t>(5º año)</t>
  </si>
  <si>
    <t>(Datos de las Cuentas de Resultados)</t>
  </si>
  <si>
    <t>(Datos de los Balances de Situación y de las Cuentas de Resultados)</t>
  </si>
  <si>
    <t>Gastos para la Puesta en Marcha</t>
  </si>
  <si>
    <t xml:space="preserve">   Inversiones Inmobiliarias (Netas)</t>
  </si>
  <si>
    <t>Saldo de Inversiones Financieras a CP</t>
  </si>
  <si>
    <t>AAIInm</t>
  </si>
  <si>
    <t xml:space="preserve">Inmovilizado Material </t>
  </si>
  <si>
    <t xml:space="preserve">Inversiones Inmobiliarias </t>
  </si>
  <si>
    <t>(- Amortización Acumulada Inmovilizado Intangible)</t>
  </si>
  <si>
    <t>(- Amortización Acumulada Inmovilizado Material)</t>
  </si>
  <si>
    <t>(- Amortización Acumulada Inversiones Inmobiliarias)</t>
  </si>
  <si>
    <t>- Amort. Acumul. Inmovil. Material</t>
  </si>
  <si>
    <t>- Amort. Acumul. Inmovil. Intangible</t>
  </si>
  <si>
    <t>Inmovilizado Financiero a LP</t>
  </si>
  <si>
    <t xml:space="preserve">Importe de la Inversión a Amortizar </t>
  </si>
  <si>
    <t>(Para el cálculo de la Cuota Anual de Amortización de las Inversiones realizadas en cada ejercicio económico, se supone que éstas se efectúan, siempre, a comienzo de cada ejercicio)</t>
  </si>
  <si>
    <t>Años de Vida Restantes</t>
  </si>
  <si>
    <t>Otros Acreedores a LP y Aportaciones de Socios a LP</t>
  </si>
  <si>
    <t>Otras Aportac Socios a LP a Bs y Derechos</t>
  </si>
  <si>
    <t>Otras Aportac Socios a LP a Capital</t>
  </si>
  <si>
    <t>Financiación Pdte Devolver a Otros Acreedores y Socios</t>
  </si>
  <si>
    <t xml:space="preserve">   Hac. Pública y S.S. Acreedora (Retenciones, IVA, Impuesto Soc)</t>
  </si>
  <si>
    <t>Cuadro de Amortización del Crédito - Año 2015</t>
  </si>
  <si>
    <t>Cuadro Resumen Amortización de Préstamos Participativos</t>
  </si>
  <si>
    <t>Devolución del Capital de los Préstamos</t>
  </si>
  <si>
    <t>Totales por Ejercicio
Operaciones de Préstamos Participativos</t>
  </si>
  <si>
    <t>(Act) Inversiones Financieras Temporales</t>
  </si>
  <si>
    <t>(Pas) Acreedores CP - Financieros - Créditos</t>
  </si>
  <si>
    <t>(Pas) Acreedores Comerciales</t>
  </si>
  <si>
    <t>(Pas) C/c con Socios y Administradores a CP</t>
  </si>
  <si>
    <t>(Pas) Salarios y Arrendamientos a Pagar</t>
  </si>
  <si>
    <t>(Pas) Hacienda Pública y S.S. Acreedoras (Retenciones, IVA, Imp. Soc.)</t>
  </si>
  <si>
    <t xml:space="preserve">   Préstamos Participativos</t>
  </si>
  <si>
    <t xml:space="preserve">(*) Trabajos Realizados para Inmovilizado (Act Gastos I+D+i) </t>
  </si>
  <si>
    <t>b. Empleados afectos al Proyecto I+D+i</t>
  </si>
  <si>
    <t>a. Socios afectos al Proyecto I+D+i</t>
  </si>
  <si>
    <t>TOTAL (a + b)</t>
  </si>
  <si>
    <t>Porcentaje a aplicar del total de Costes Indirectos:</t>
  </si>
  <si>
    <t>(*) Coste del Pesonal afecto directamente a las actividades del Proyecto I+D+i</t>
  </si>
  <si>
    <t>Suma Importe Sueldo Bruto ANUAL</t>
  </si>
  <si>
    <t>Suma RETA y Seg. Social ANUAL</t>
  </si>
  <si>
    <t>Suma Otros Gastos Personal Anual</t>
  </si>
  <si>
    <t xml:space="preserve">   Inmovilizado Material </t>
  </si>
  <si>
    <t xml:space="preserve">   Inmovilizado Intangible </t>
  </si>
  <si>
    <t>Años de Amortización</t>
  </si>
  <si>
    <t xml:space="preserve"> Acreedores a CP Financieros - Linea de Crédito</t>
  </si>
  <si>
    <t xml:space="preserve">   Acreedores C.P. Financieros - Línea de Crédito</t>
  </si>
  <si>
    <t>Capital en Préstamo Partic.</t>
  </si>
  <si>
    <t>(a) Gastos I + D + i Activables</t>
  </si>
  <si>
    <t>TOTAL (a) + (b)  Gastos I + D + i Activables</t>
  </si>
  <si>
    <t>(Trasladar al cuadro siguiente la parte de los Importes de los Sueldos Brutos Anuales reflejados arriba y que haya que imputar al Proyecto I+D+i)</t>
  </si>
  <si>
    <t xml:space="preserve">   Acreedores Comerciales a CP (Proveedores y Acreedores Varios) </t>
  </si>
  <si>
    <t xml:space="preserve">   Administraciones Públicas *  </t>
  </si>
  <si>
    <t xml:space="preserve">   Salarios a Pagar *   </t>
  </si>
  <si>
    <t xml:space="preserve">Tributos y Tasas  </t>
  </si>
  <si>
    <t xml:space="preserve">Suministros (Luz, Agua, Teléfono, Gas) </t>
  </si>
  <si>
    <t xml:space="preserve">Gestoría, Asesoría y Auditoras (Servicios Profesionales Indep.) </t>
  </si>
  <si>
    <t xml:space="preserve">Primas de Seguros  </t>
  </si>
  <si>
    <t xml:space="preserve">Arrendamientos y Cánones  </t>
  </si>
  <si>
    <t xml:space="preserve">Transportes y Mensajería </t>
  </si>
  <si>
    <t xml:space="preserve">Otros Servicios (2)  </t>
  </si>
  <si>
    <t>Valor Compras de Cada Ejercicio</t>
  </si>
  <si>
    <t>Sueldos y Salarios (Pdtes de Devolución)</t>
  </si>
  <si>
    <t>Hac. Pública Deudora (Realizable)</t>
  </si>
  <si>
    <t>6. Las hojas están protegidas, se pueden desproteger sin insertar contraseña alguna.</t>
  </si>
  <si>
    <t>Pdte de Cobro</t>
  </si>
  <si>
    <t>Pdte de Pago</t>
  </si>
  <si>
    <t>Límite de Crédito a CP</t>
  </si>
  <si>
    <t>Capital Pdte a LP</t>
  </si>
  <si>
    <t>Capital Pdte a CP</t>
  </si>
  <si>
    <t>Capital a LP</t>
  </si>
  <si>
    <t>Capital a CP</t>
  </si>
  <si>
    <t>SUMATORIO DE TODOS LOS LEASING (Inicial + SS años)</t>
  </si>
  <si>
    <t>SUMATORIO DE TODOS LOS PRESTAMOS (Inicial + SS años)</t>
  </si>
  <si>
    <t>* Información Digitalizada</t>
  </si>
  <si>
    <t>* Competencias Económico/Organizativas</t>
  </si>
  <si>
    <t>Además del Software,incluye Bases de Datos, Redes, etc</t>
  </si>
  <si>
    <t>Además de I+D, prospecciones Monetarias, Originales de Obras Recreativas, literarias o artísticas; Nuevos Productos o sistemas en los Servicios Financieros y Diseño y Nuevos Productos Culturales</t>
  </si>
  <si>
    <t>Valor de la marca, Publicidad, investigación de Mercado, Recursos específicos de la empresa como Formación a Cargo del Empleados y Estructura Organizativa.</t>
  </si>
  <si>
    <t>Número de años que se tarda en recuperar la Inversión del Primer Ejercicio Económico</t>
  </si>
  <si>
    <r>
      <t xml:space="preserve">Deudas a Largo Plazo </t>
    </r>
    <r>
      <rPr>
        <sz val="10"/>
        <rFont val="Simplified Arabic Fixed"/>
        <family val="3"/>
      </rPr>
      <t xml:space="preserve"> (Pasivo No  Corriente)</t>
    </r>
  </si>
  <si>
    <r>
      <t xml:space="preserve">Deudas a Corto Plazo  </t>
    </r>
    <r>
      <rPr>
        <sz val="10"/>
        <rFont val="Simplified Arabic Fixed"/>
        <family val="3"/>
      </rPr>
      <t>(Pasivo Exigible)</t>
    </r>
  </si>
  <si>
    <r>
      <rPr>
        <sz val="10"/>
        <rFont val="Simplified Arabic Fixed"/>
        <family val="3"/>
      </rPr>
      <t>Equivalente</t>
    </r>
    <r>
      <rPr>
        <b/>
        <sz val="9"/>
        <rFont val="Simplified Arabic Fixed"/>
        <family val="3"/>
      </rPr>
      <t xml:space="preserve"> </t>
    </r>
    <r>
      <rPr>
        <b/>
        <sz val="11"/>
        <rFont val="Simplified Arabic Fixed"/>
        <family val="3"/>
      </rPr>
      <t>Tasa Anual de Amortización (en %)</t>
    </r>
  </si>
  <si>
    <r>
      <t xml:space="preserve">Reparaciones, Mantenimiento y Conservación </t>
    </r>
    <r>
      <rPr>
        <sz val="10"/>
        <rFont val="Simplified Arabic Fixed"/>
        <family val="3"/>
      </rPr>
      <t xml:space="preserve"> </t>
    </r>
  </si>
  <si>
    <r>
      <t xml:space="preserve">(*) </t>
    </r>
    <r>
      <rPr>
        <b/>
        <u/>
        <sz val="11"/>
        <color indexed="53"/>
        <rFont val="Simplified Arabic Fixed"/>
        <family val="3"/>
      </rPr>
      <t>Gastos de I+D+i</t>
    </r>
    <r>
      <rPr>
        <u/>
        <sz val="11"/>
        <color indexed="53"/>
        <rFont val="Simplified Arabic Fixed"/>
        <family val="3"/>
      </rPr>
      <t xml:space="preserve"> </t>
    </r>
    <r>
      <rPr>
        <b/>
        <u/>
        <sz val="11"/>
        <color indexed="53"/>
        <rFont val="Simplified Arabic Fixed"/>
        <family val="3"/>
      </rPr>
      <t>Activables</t>
    </r>
    <r>
      <rPr>
        <u/>
        <sz val="11"/>
        <color indexed="53"/>
        <rFont val="Simplified Arabic Fixed"/>
        <family val="3"/>
      </rPr>
      <t xml:space="preserve"> </t>
    </r>
    <r>
      <rPr>
        <u/>
        <sz val="10"/>
        <color indexed="53"/>
        <rFont val="Simplified Arabic Fixed"/>
        <family val="3"/>
      </rPr>
      <t>(si los proyectos los realizan con medios propios de la empresa, se valoran por su coste de producción, incluyendo, en particular, los siguentes conceptos):</t>
    </r>
  </si>
  <si>
    <r>
      <t>* Costes de Personal</t>
    </r>
    <r>
      <rPr>
        <sz val="10"/>
        <color indexed="53"/>
        <rFont val="Simplified Arabic Fixed"/>
        <family val="3"/>
      </rPr>
      <t xml:space="preserve"> (Sueldos y Seg. Social) afectos directamente a las actividades del proyecto I + D +i. </t>
    </r>
    <r>
      <rPr>
        <sz val="8"/>
        <color indexed="53"/>
        <rFont val="Simplified Arabic Fixed"/>
        <family val="3"/>
      </rPr>
      <t>(de hoja 10)</t>
    </r>
  </si>
  <si>
    <r>
      <t>* Costes Directos (de Materias Primas, Materias Consumibles y Servicios)</t>
    </r>
    <r>
      <rPr>
        <sz val="10"/>
        <color indexed="53"/>
        <rFont val="Simplified Arabic Fixed"/>
        <family val="3"/>
      </rPr>
      <t xml:space="preserve"> utilizados en el proyecto de I + D + i. </t>
    </r>
    <r>
      <rPr>
        <sz val="8"/>
        <color indexed="53"/>
        <rFont val="Simplified Arabic Fixed"/>
        <family val="3"/>
      </rPr>
      <t xml:space="preserve"> (de hoja 9)</t>
    </r>
  </si>
  <si>
    <r>
      <t>* La parte de Costes Indirectos</t>
    </r>
    <r>
      <rPr>
        <sz val="10"/>
        <color indexed="53"/>
        <rFont val="Simplified Arabic Fixed"/>
        <family val="3"/>
      </rPr>
      <t xml:space="preserve"> que razonablemente afectan a las actividades  del proyecto I + D + i, siempre que respondan a una imputación racional de los mismos.  </t>
    </r>
    <r>
      <rPr>
        <sz val="8"/>
        <color indexed="53"/>
        <rFont val="Simplified Arabic Fixed"/>
        <family val="3"/>
      </rPr>
      <t>(de hoja 11)</t>
    </r>
  </si>
  <si>
    <r>
      <t>* (b) Amortización del Inmovilizado</t>
    </r>
    <r>
      <rPr>
        <sz val="10"/>
        <color indexed="53"/>
        <rFont val="Simplified Arabic Fixed"/>
        <family val="3"/>
      </rPr>
      <t xml:space="preserve"> afecto directamente al proyecto de I + D + i.  </t>
    </r>
    <r>
      <rPr>
        <sz val="8"/>
        <color indexed="53"/>
        <rFont val="Simplified Arabic Fixed"/>
        <family val="3"/>
      </rPr>
      <t>(de hoja 5)</t>
    </r>
  </si>
  <si>
    <r>
      <t xml:space="preserve">a. De Socios </t>
    </r>
    <r>
      <rPr>
        <sz val="10"/>
        <rFont val="Simplified Arabic Fixed"/>
        <family val="3"/>
      </rPr>
      <t>o Personal por Cta Propia (en RETA)</t>
    </r>
  </si>
  <si>
    <r>
      <t xml:space="preserve">b. De Empleados </t>
    </r>
    <r>
      <rPr>
        <sz val="10"/>
        <rFont val="Simplified Arabic Fixed"/>
        <family val="3"/>
      </rPr>
      <t>o Personal por Cta Ajena</t>
    </r>
  </si>
  <si>
    <t>Nº Años de Amortización</t>
  </si>
  <si>
    <t>Cuadro de Amortización Contable</t>
  </si>
  <si>
    <t xml:space="preserve">   C/c con Socios y Administrad a CP  y Otras Deudas a CP</t>
  </si>
  <si>
    <t>veces</t>
  </si>
  <si>
    <t>(Sólo escribir datos en las celdas de color verde lima que afecten al proyecto)</t>
  </si>
  <si>
    <t>(Revisar y en su caso modificar los años de las celdas de color verde lima)</t>
  </si>
  <si>
    <t>(Si los porcentajes preestablecidos en las celdas de color verde - en relación al ejercicio anterior - no corresponden las sus estimaciones de Ingresos y Gastos, puede modificarlos)</t>
  </si>
  <si>
    <t>Material de Oficina, Limpieza y Otros</t>
  </si>
  <si>
    <t>(Si decide cancelar una Deuda Pdte (Pasivo) a partir del 2º ejercicio, puede hacerlo en las celdas del cuadro de abajo). (Los importes de las de Pas deben insertarse con signo negativo)</t>
  </si>
  <si>
    <t>Versión:</t>
  </si>
  <si>
    <t>Gastos de la Puesta en Marcha y Formalización</t>
  </si>
  <si>
    <t>Gastos de la Campaña Crowdfunding</t>
  </si>
  <si>
    <t>Cuota de Renting</t>
  </si>
  <si>
    <t>OCULTAR 6º AÑO</t>
  </si>
  <si>
    <t>Equivalente a la Carga Financiera</t>
  </si>
  <si>
    <t>Equivalente a la Recuperación Coste</t>
  </si>
  <si>
    <t>Cuota a Pagar</t>
  </si>
  <si>
    <t>Renting Pendiente</t>
  </si>
  <si>
    <t>Renting Pdte a LP</t>
  </si>
  <si>
    <t>Renting Pdte a CP</t>
  </si>
  <si>
    <t>Inv. Financiadas por Renting Inmovilizado Material</t>
  </si>
  <si>
    <t xml:space="preserve">    Aportación en efectivo (Inversores Internos)</t>
  </si>
  <si>
    <t xml:space="preserve">    Aportación en efectivo (Equity Crowdfunding y Otros Inversores Externos)</t>
  </si>
  <si>
    <t xml:space="preserve">   Reservas Obligatorias y Voluntarias *</t>
  </si>
  <si>
    <t xml:space="preserve">   Capital (Inversores Internos)</t>
  </si>
  <si>
    <t xml:space="preserve">   Capital (Equity Crowdf. y Otros Invers. Externos)</t>
  </si>
  <si>
    <t xml:space="preserve">   Reservas Obligatorias y Voluntarias</t>
  </si>
  <si>
    <t>Gastos de Formalización de los Prestamos</t>
  </si>
  <si>
    <t xml:space="preserve">   Acreedores L.P. Financieros - Préstamo Inicial</t>
  </si>
  <si>
    <t>Cuadro Resumen Amortización de Préstamos Financieros y Crowdlending</t>
  </si>
  <si>
    <t>Capital en Préstamo y Crowdlending</t>
  </si>
  <si>
    <t xml:space="preserve">Conceptos </t>
  </si>
  <si>
    <t>A</t>
  </si>
  <si>
    <t>PS</t>
  </si>
  <si>
    <t>Inv. Financiadas con Préstamos de Socios, Familiares y Amigos</t>
  </si>
  <si>
    <t>P</t>
  </si>
  <si>
    <t>Inv. Financiadas con Subvenciones, Donaciones</t>
  </si>
  <si>
    <t>Inversión Total en Inmovilizado</t>
  </si>
  <si>
    <t>S</t>
  </si>
  <si>
    <r>
      <t xml:space="preserve">   Resultado del Ejercicio</t>
    </r>
    <r>
      <rPr>
        <sz val="10"/>
        <rFont val="Simplified Arabic Fixed"/>
        <family val="3"/>
      </rPr>
      <t xml:space="preserve"> </t>
    </r>
    <r>
      <rPr>
        <sz val="9"/>
        <rFont val="Simplified Arabic Fixed"/>
        <family val="3"/>
      </rPr>
      <t>(incluye Crowdf Recompensa)</t>
    </r>
  </si>
  <si>
    <t>IVA Soportado de Inversión en Inmovilizado</t>
  </si>
  <si>
    <t>Inv. Financiadas con Préstamos Financieros</t>
  </si>
  <si>
    <t xml:space="preserve">   Otros Acreedores a LP por Préstamos de Socios, Familiares y Amigos</t>
  </si>
  <si>
    <r>
      <t xml:space="preserve">   Acreedores L.P. Financ. </t>
    </r>
    <r>
      <rPr>
        <sz val="10"/>
        <rFont val="Simplified Arabic Fixed"/>
        <family val="3"/>
      </rPr>
      <t>(Préstamos y Crowdlending)</t>
    </r>
  </si>
  <si>
    <r>
      <t xml:space="preserve">   Acreedores C.P. Financ. </t>
    </r>
    <r>
      <rPr>
        <sz val="10"/>
        <rFont val="Simplified Arabic Fixed"/>
        <family val="3"/>
      </rPr>
      <t>(Préstamos y Crowdlending)</t>
    </r>
  </si>
  <si>
    <t>PP</t>
  </si>
  <si>
    <t>Devol. Financ. Por Prestamo de Socios, Familiares y Amigos</t>
  </si>
  <si>
    <t>Materias Primas, Mercaderías y Productos Terminados</t>
  </si>
  <si>
    <t>Sólo debe modificarse los datos de la columna que afecten al importe de Capital de ese ejercicio económico).</t>
  </si>
  <si>
    <t>(Si las características preestablecidas en las celdas azules no corresponden con las previstas para el Capital en cuestión, se pueden cambiar.</t>
  </si>
  <si>
    <t>Total Acreedores Financieros (Préstamos, Crowdlending y Créditos)</t>
  </si>
  <si>
    <t>Total Acreedores Financieros (No Balance) (Renting)</t>
  </si>
  <si>
    <t>Propuesta de Cancelación de Deudas (Pasivo) a Realizar con Posterioridad al 1º y 2º Ejercicios Económicos.</t>
  </si>
  <si>
    <t>* En el denominador no se incluye Otros Acreedores a LP por Préstamos de Socios, Familiares y Amigos</t>
  </si>
  <si>
    <t>* En el denominador no se incluye las Donaciónes + Crowd Donación</t>
  </si>
  <si>
    <t>(Si las características preestablecidas en las celdas azules no corresponden con las previstas para el Contrato de Renting en cuestión, se pueden cambiar.</t>
  </si>
  <si>
    <t>(NA: Porcentaje Aplicable)</t>
  </si>
  <si>
    <t>(Pas) Prestamosde Socios, Familiares y Amigos</t>
  </si>
  <si>
    <t xml:space="preserve">    Crowdfunding Recompensa</t>
  </si>
  <si>
    <t xml:space="preserve">    Crowdfunding Donación y Subvenciones, Donaciones y Legados</t>
  </si>
  <si>
    <t xml:space="preserve">    Préstamo Participativo</t>
  </si>
  <si>
    <t>Facturación</t>
  </si>
  <si>
    <t xml:space="preserve">Enero </t>
  </si>
  <si>
    <t>Punto Equilibrio (Facturación Pendiente)</t>
  </si>
  <si>
    <t>Punto Equilibrio (Objetivo)</t>
  </si>
  <si>
    <t>C.Variables</t>
  </si>
  <si>
    <t>C.Fijos</t>
  </si>
  <si>
    <t>RA</t>
  </si>
  <si>
    <t>VC</t>
  </si>
  <si>
    <t>LTV simple</t>
  </si>
  <si>
    <t>CAC</t>
  </si>
  <si>
    <t>LTV</t>
  </si>
  <si>
    <t>Unidades Vendidas</t>
  </si>
  <si>
    <t>Repetición de Compra Anual de los Clientes</t>
  </si>
  <si>
    <t>Vida Útil (en años) del Cliente en la empresa</t>
  </si>
  <si>
    <t>Margen Bruto Total</t>
  </si>
  <si>
    <t>en €</t>
  </si>
  <si>
    <t>en %</t>
  </si>
  <si>
    <t>Precio Venta Promedio (Ticket Medio)</t>
  </si>
  <si>
    <t xml:space="preserve">Margen Bruto Total </t>
  </si>
  <si>
    <t>veces CAC</t>
  </si>
  <si>
    <t>(Mensualizado 1º y 2º Ej. Económicos)</t>
  </si>
  <si>
    <t>oculto</t>
  </si>
  <si>
    <t>Ocultar</t>
  </si>
  <si>
    <t>LEASING (Inicial - hoja oculta Pasivos)</t>
  </si>
  <si>
    <t xml:space="preserve">   Acreedores L.P. Financieros - Leasing</t>
  </si>
  <si>
    <t>El único Leasing que se puede insertar (características, hoja oculta "(0) 3c…" - columna R)</t>
  </si>
  <si>
    <t xml:space="preserve">   C/c con Socios y Administradores a CP </t>
  </si>
  <si>
    <t>Devol. Financ. C/C con Socios y Admin. a CP</t>
  </si>
  <si>
    <t xml:space="preserve">    Préstamos de Socios, Familiares y Amigos </t>
  </si>
  <si>
    <t xml:space="preserve">   Resultado del Ejercicio Actual *</t>
  </si>
  <si>
    <r>
      <t xml:space="preserve">Provisiones por Operac. Comerc. a CP *  </t>
    </r>
    <r>
      <rPr>
        <b/>
        <sz val="9"/>
        <color indexed="23"/>
        <rFont val="Simplified Arabic Fixed"/>
        <family val="3"/>
      </rPr>
      <t>(oculto)</t>
    </r>
  </si>
  <si>
    <r>
      <rPr>
        <b/>
        <sz val="10"/>
        <rFont val="Arial Narrow"/>
        <family val="2"/>
      </rPr>
      <t xml:space="preserve">Año                          </t>
    </r>
    <r>
      <rPr>
        <b/>
        <sz val="11"/>
        <rFont val="Arial Narrow"/>
        <family val="2"/>
      </rPr>
      <t xml:space="preserve"> </t>
    </r>
    <r>
      <rPr>
        <sz val="9"/>
        <rFont val="Arial Narrow"/>
        <family val="2"/>
      </rPr>
      <t>(o Ejercicio Económico)</t>
    </r>
  </si>
  <si>
    <r>
      <rPr>
        <b/>
        <sz val="10"/>
        <rFont val="Arial Narrow"/>
        <family val="2"/>
      </rPr>
      <t>Margen Bruto</t>
    </r>
    <r>
      <rPr>
        <sz val="10"/>
        <rFont val="Arial Narrow"/>
        <family val="2"/>
      </rPr>
      <t xml:space="preserve"> </t>
    </r>
    <r>
      <rPr>
        <b/>
        <sz val="9"/>
        <rFont val="Arial Narrow"/>
        <family val="2"/>
      </rPr>
      <t>s/ Ventas</t>
    </r>
  </si>
  <si>
    <r>
      <rPr>
        <b/>
        <sz val="10"/>
        <rFont val="Arial Narrow"/>
        <family val="2"/>
      </rPr>
      <t>EBIT</t>
    </r>
    <r>
      <rPr>
        <b/>
        <sz val="11"/>
        <rFont val="Arial Narrow"/>
        <family val="2"/>
      </rPr>
      <t xml:space="preserve"> </t>
    </r>
    <r>
      <rPr>
        <b/>
        <sz val="9"/>
        <rFont val="Arial Narrow"/>
        <family val="2"/>
      </rPr>
      <t>(o BAII)</t>
    </r>
  </si>
  <si>
    <r>
      <rPr>
        <b/>
        <sz val="10"/>
        <rFont val="Arial Narrow"/>
        <family val="2"/>
      </rPr>
      <t>Beneficio Neto</t>
    </r>
    <r>
      <rPr>
        <sz val="10"/>
        <rFont val="Arial Narrow"/>
        <family val="2"/>
      </rPr>
      <t xml:space="preserve"> </t>
    </r>
    <r>
      <rPr>
        <b/>
        <sz val="9"/>
        <rFont val="Arial Narrow"/>
        <family val="2"/>
      </rPr>
      <t>s/ Ventas</t>
    </r>
  </si>
  <si>
    <r>
      <t xml:space="preserve">Cash-Flow </t>
    </r>
    <r>
      <rPr>
        <b/>
        <sz val="8"/>
        <rFont val="Arial Narrow"/>
        <family val="2"/>
      </rPr>
      <t>Económico</t>
    </r>
  </si>
  <si>
    <r>
      <t xml:space="preserve">ROE </t>
    </r>
    <r>
      <rPr>
        <sz val="9"/>
        <rFont val="Arial Narrow"/>
        <family val="2"/>
      </rPr>
      <t>(Return On Equity)</t>
    </r>
    <r>
      <rPr>
        <b/>
        <sz val="9"/>
        <rFont val="Arial Narrow"/>
        <family val="2"/>
      </rPr>
      <t xml:space="preserve">    Rentabilidad Financiera</t>
    </r>
  </si>
  <si>
    <r>
      <t xml:space="preserve">ROI </t>
    </r>
    <r>
      <rPr>
        <sz val="9"/>
        <rFont val="Arial Narrow"/>
        <family val="2"/>
      </rPr>
      <t xml:space="preserve">(Return On Investment) </t>
    </r>
    <r>
      <rPr>
        <b/>
        <sz val="9"/>
        <rFont val="Arial Narrow"/>
        <family val="2"/>
      </rPr>
      <t xml:space="preserve">   Rentabilidad Económica</t>
    </r>
  </si>
  <si>
    <r>
      <t xml:space="preserve">Endeudamiento </t>
    </r>
    <r>
      <rPr>
        <sz val="8"/>
        <rFont val="Arial Narrow"/>
        <family val="2"/>
      </rPr>
      <t xml:space="preserve"> (Pasivo Total / Pasivo Total + Patrimonio Neto)</t>
    </r>
  </si>
  <si>
    <r>
      <t xml:space="preserve">Capacidad de Devolver Deuda Financiera  </t>
    </r>
    <r>
      <rPr>
        <sz val="8"/>
        <rFont val="Arial Narrow"/>
        <family val="2"/>
      </rPr>
      <t>(Bfo Neto + Amortizaciones / Acreedores Financieros)</t>
    </r>
  </si>
  <si>
    <r>
      <t xml:space="preserve">Coeficiente de Seguridad </t>
    </r>
    <r>
      <rPr>
        <sz val="8"/>
        <rFont val="Arial Narrow"/>
        <family val="2"/>
      </rPr>
      <t>(Ventas/Punto de Equilibrio)</t>
    </r>
  </si>
  <si>
    <r>
      <t xml:space="preserve">Pay-Back </t>
    </r>
    <r>
      <rPr>
        <sz val="8"/>
        <rFont val="Arial Narrow"/>
        <family val="2"/>
      </rPr>
      <t>(Plazo Recuperación de la Inversión realizada durante el 1º Ejercicio Económico)</t>
    </r>
  </si>
  <si>
    <t>* Incluido el Circulante</t>
  </si>
  <si>
    <t>Incluye Préstamos Participativos como Deuda</t>
  </si>
  <si>
    <t>LEASING</t>
  </si>
  <si>
    <t>Coste del Bien</t>
  </si>
  <si>
    <r>
      <t xml:space="preserve">Tesorería </t>
    </r>
    <r>
      <rPr>
        <b/>
        <sz val="10"/>
        <rFont val="Arial Narrow"/>
        <family val="2"/>
      </rPr>
      <t>(Prueba Ácida)</t>
    </r>
    <r>
      <rPr>
        <sz val="9"/>
        <rFont val="Arial Narrow"/>
        <family val="2"/>
      </rPr>
      <t xml:space="preserve">     </t>
    </r>
    <r>
      <rPr>
        <sz val="8"/>
        <rFont val="Arial Narrow"/>
        <family val="2"/>
      </rPr>
      <t>(Realizable + Disponible / Pasivo Corriente)</t>
    </r>
  </si>
  <si>
    <r>
      <rPr>
        <b/>
        <sz val="10"/>
        <rFont val="Arial Narrow"/>
        <family val="2"/>
      </rPr>
      <t xml:space="preserve">Año   </t>
    </r>
    <r>
      <rPr>
        <sz val="9"/>
        <rFont val="Arial Narrow"/>
        <family val="2"/>
      </rPr>
      <t>(o Ejercicio Económico)</t>
    </r>
  </si>
  <si>
    <t>1º Trim</t>
  </si>
  <si>
    <t>2º Trim</t>
  </si>
  <si>
    <t>RETA y Seg. Social</t>
  </si>
  <si>
    <t>Sueldo Bruto + Otros Gastos Personal</t>
  </si>
  <si>
    <t>3º Trim</t>
  </si>
  <si>
    <t>4º Trim</t>
  </si>
  <si>
    <t>Características, hoja oculta "(0) 3b. Préstam Financ."</t>
  </si>
  <si>
    <t>Se puede insertar otro Prestamo a Inicio Actividad en esta celda (características, hoja oculta "(0) 3b. Préstam Financ." - columna R)</t>
  </si>
  <si>
    <t>Características, hoja oculta "(0) 3a. Préstam Partic."</t>
  </si>
  <si>
    <t>no</t>
  </si>
  <si>
    <t xml:space="preserve">    Otros Préstamos Financieros y Crowdlending Inicial</t>
  </si>
  <si>
    <r>
      <t>(</t>
    </r>
    <r>
      <rPr>
        <b/>
        <sz val="11"/>
        <color indexed="55"/>
        <rFont val="Simplified Arabic Fixed"/>
        <family val="3"/>
      </rPr>
      <t xml:space="preserve">Borrar </t>
    </r>
    <r>
      <rPr>
        <sz val="11"/>
        <color indexed="55"/>
        <rFont val="Simplified Arabic Fixed"/>
        <family val="3"/>
      </rPr>
      <t>los Sueldos Brutos y RETA - Seg. Social del/los</t>
    </r>
    <r>
      <rPr>
        <b/>
        <sz val="11"/>
        <color indexed="55"/>
        <rFont val="Simplified Arabic Fixed"/>
        <family val="3"/>
      </rPr>
      <t xml:space="preserve"> trimestre/s </t>
    </r>
    <r>
      <rPr>
        <sz val="11"/>
        <color indexed="55"/>
        <rFont val="Simplified Arabic Fixed"/>
        <family val="3"/>
      </rPr>
      <t xml:space="preserve">en los que los trabajadores </t>
    </r>
    <r>
      <rPr>
        <b/>
        <sz val="11"/>
        <color indexed="55"/>
        <rFont val="Simplified Arabic Fixed"/>
        <family val="3"/>
      </rPr>
      <t xml:space="preserve">aún no estén incorporados </t>
    </r>
    <r>
      <rPr>
        <sz val="11"/>
        <color indexed="55"/>
        <rFont val="Simplified Arabic Fixed"/>
        <family val="3"/>
      </rPr>
      <t>en la empresa)</t>
    </r>
  </si>
  <si>
    <t>Porcentaje de los Costes Directos Variables (a) s/ Facturación</t>
  </si>
  <si>
    <t>Ticket Medio</t>
  </si>
  <si>
    <t>Margen Bruto</t>
  </si>
  <si>
    <r>
      <rPr>
        <b/>
        <sz val="10"/>
        <rFont val="Arial Narrow"/>
        <family val="2"/>
      </rPr>
      <t xml:space="preserve">Punto de Equilibrio  </t>
    </r>
    <r>
      <rPr>
        <sz val="8"/>
        <rFont val="Arial Narrow"/>
        <family val="2"/>
      </rPr>
      <t xml:space="preserve">(Umbral de Rentabilidad o  </t>
    </r>
    <r>
      <rPr>
        <b/>
        <sz val="8"/>
        <rFont val="Arial Narrow"/>
        <family val="2"/>
      </rPr>
      <t>Break Event Point</t>
    </r>
    <r>
      <rPr>
        <sz val="8"/>
        <rFont val="Arial Narrow"/>
        <family val="2"/>
      </rPr>
      <t>)</t>
    </r>
  </si>
  <si>
    <t>ocultar</t>
  </si>
  <si>
    <t>ocultar - formula para TAE</t>
  </si>
  <si>
    <r>
      <t xml:space="preserve">Saldo de Tesorería  </t>
    </r>
    <r>
      <rPr>
        <sz val="8"/>
        <rFont val="Arial Narrow"/>
        <family val="2"/>
      </rPr>
      <t>(Cierre de cada Ejercicio)</t>
    </r>
  </si>
  <si>
    <r>
      <t xml:space="preserve">Recursos Propios           </t>
    </r>
    <r>
      <rPr>
        <sz val="8"/>
        <rFont val="Arial Narrow"/>
        <family val="2"/>
      </rPr>
      <t>(Cierre de cada  Ejercicio)</t>
    </r>
  </si>
  <si>
    <t>enero</t>
  </si>
  <si>
    <t xml:space="preserve">   (0) 1b. Pasivos de Partida</t>
  </si>
  <si>
    <t xml:space="preserve">   (0) 1a. Activos de Partida</t>
  </si>
  <si>
    <t>(0) 3b. Préstam Financ.</t>
  </si>
  <si>
    <t>(0) 3a. Préstam Particip.</t>
  </si>
  <si>
    <t>(0) 5. Resumen P y G (5 Ej.)</t>
  </si>
  <si>
    <t>(0) 4. Resumen Balances (5 Ej.)</t>
  </si>
  <si>
    <t>Ratios - Indicadores Económico - Financieros</t>
  </si>
  <si>
    <t>TOTAL ACTIVO</t>
  </si>
  <si>
    <t>TOTAL PATRIMONIO NETO + PASIVO</t>
  </si>
  <si>
    <t>INGRESOS (Ventas)</t>
  </si>
  <si>
    <t>Total COSTES de VENTAS (Costes Variables)</t>
  </si>
  <si>
    <t>Total GASTOS de ESTRUCTURA (Costes Fijos)</t>
  </si>
  <si>
    <t>Dotación a la Amortización (Contable)</t>
  </si>
  <si>
    <t>RESULTADO FINANCIERO</t>
  </si>
  <si>
    <t>Provisión Impuesto s/ Beneficios</t>
  </si>
  <si>
    <t>Resumen Cuentas de Pérdidas y Ganancias Abreviadas</t>
  </si>
  <si>
    <t>Resumen Balances de Situación Abreviados</t>
  </si>
  <si>
    <t xml:space="preserve">IVA Soportado Inversiones y Gastos de Explotación </t>
  </si>
  <si>
    <t xml:space="preserve"> + Otros Ingresos (por Crowfunding de Recompensa)</t>
  </si>
  <si>
    <t xml:space="preserve"> - / +  Resultados Excepcionales</t>
  </si>
  <si>
    <t>+ Ingresos / -Gastos Excepcionales</t>
  </si>
  <si>
    <t>- / + Resultados Excepcionales</t>
  </si>
  <si>
    <t xml:space="preserve">Otros Servicios (1)  </t>
  </si>
  <si>
    <t>IVA Repercutido Incluido en Crowdfunding Recompensa</t>
  </si>
  <si>
    <t>Pago Deudas Pdtes (a Acreedores, Proveedores y Adm. Públicas)</t>
  </si>
  <si>
    <t>Desocultar fila 19 de la hoja "7. Tesorería"</t>
  </si>
  <si>
    <t xml:space="preserve">2. Calidad de la Deuda </t>
  </si>
  <si>
    <t>Pasivo a Corto Plazo / Pasivo Total</t>
  </si>
  <si>
    <t>3. Capacidad de Devolución de la Deuda con Acreedores Financieros</t>
  </si>
  <si>
    <t>4. Cobertura de Intereses</t>
  </si>
  <si>
    <t>Fianzas y Depósitos y Garantías</t>
  </si>
  <si>
    <r>
      <t xml:space="preserve">Importe de la Aportación de Activos   </t>
    </r>
    <r>
      <rPr>
        <b/>
        <sz val="9"/>
        <color indexed="22"/>
        <rFont val="Simplified Arabic Fixed"/>
        <family val="3"/>
      </rPr>
      <t>(Bienes y Derechos)</t>
    </r>
  </si>
  <si>
    <r>
      <t xml:space="preserve">Importe de la Adquisición de Activos   </t>
    </r>
    <r>
      <rPr>
        <b/>
        <sz val="9"/>
        <color indexed="22"/>
        <rFont val="Simplified Arabic Fixed"/>
        <family val="3"/>
      </rPr>
      <t>(Bienes y Derechos)</t>
    </r>
  </si>
  <si>
    <t xml:space="preserve">    Resultado del Ejercicio Anterior *</t>
  </si>
  <si>
    <t xml:space="preserve"> Organismos Seg. Social Acreedora * </t>
  </si>
  <si>
    <t xml:space="preserve"> Hacienda Pública Acreedora *</t>
  </si>
  <si>
    <t>IVA Soportado de Inversión en Momento de Partida</t>
  </si>
  <si>
    <t xml:space="preserve">Sueldo Neto (Liquido) Anual </t>
  </si>
  <si>
    <t>Otros Costes Variables (b)</t>
  </si>
  <si>
    <t>IVA Soportado por Costes Marketing; C. y RRP</t>
  </si>
  <si>
    <t>Otros Gastos de Estructura (incluido Mk)</t>
  </si>
  <si>
    <t>Gastos Previos a la Puesta en Marcha (1ª Establec., Prototipo y Otros)</t>
  </si>
  <si>
    <t>Gastos de Personal (Gastos de Estructura)</t>
  </si>
  <si>
    <t>Costes Fijos* (o de Estructura) Anuales (1º Ejercicio Económico):</t>
  </si>
  <si>
    <t>Costes Fijos* (o de Estructura) Anuales (2º Ejercicio Económico):</t>
  </si>
  <si>
    <t>(0) 3c. Cuadro Renting y L</t>
  </si>
  <si>
    <t>Totales por Ejercicio
Operaciones de Renting y Leasing</t>
  </si>
  <si>
    <t>Cuadro Resumen Devolución del Renting y Leasing</t>
  </si>
  <si>
    <t>RENTING</t>
  </si>
  <si>
    <t>Total Venta Mensual</t>
  </si>
  <si>
    <t>¿Cómo medirlo?</t>
  </si>
  <si>
    <t xml:space="preserve">Equipo: </t>
  </si>
  <si>
    <t>Nombre de la Startup:</t>
  </si>
  <si>
    <t>Año Inicio Plan Financiero:</t>
  </si>
  <si>
    <t>Mes Comienzo del Ejercicio Económico:</t>
  </si>
  <si>
    <t>IVA Soportado por Gastos de Explotación y por Inversiones posteriores a las de Partida</t>
  </si>
  <si>
    <t xml:space="preserve">% IVA Repercutido </t>
  </si>
  <si>
    <t>en euros</t>
  </si>
  <si>
    <t>Total mes</t>
  </si>
  <si>
    <t>% sobre ventas</t>
  </si>
  <si>
    <r>
      <t xml:space="preserve">Porcentaje de </t>
    </r>
    <r>
      <rPr>
        <b/>
        <sz val="9"/>
        <rFont val="Tahoma"/>
        <family val="2"/>
      </rPr>
      <t>Margen Bruto</t>
    </r>
    <r>
      <rPr>
        <sz val="9"/>
        <rFont val="Tahoma"/>
        <family val="2"/>
      </rPr>
      <t xml:space="preserve"> s/ Ventas</t>
    </r>
  </si>
  <si>
    <t xml:space="preserve">¿Cómo es la estacionalidad de las ventas? </t>
  </si>
  <si>
    <t>Porcentaje Venta Anual</t>
  </si>
  <si>
    <t>Política de Cobros</t>
  </si>
  <si>
    <t xml:space="preserve">% sobre Total </t>
  </si>
  <si>
    <t>% sobre Total de Ventas</t>
  </si>
  <si>
    <t>Política de Pagos</t>
  </si>
  <si>
    <r>
      <t xml:space="preserve">Otros Costes D. Variables </t>
    </r>
    <r>
      <rPr>
        <sz val="11"/>
        <rFont val="Simplified Arabic Fixed"/>
      </rPr>
      <t>(b)</t>
    </r>
  </si>
  <si>
    <r>
      <t>Costes Directos Variables</t>
    </r>
    <r>
      <rPr>
        <sz val="11"/>
        <rFont val="Simplified Arabic Fixed"/>
      </rPr>
      <t xml:space="preserve"> (a)</t>
    </r>
  </si>
  <si>
    <r>
      <t xml:space="preserve">Costes Directos Variables </t>
    </r>
    <r>
      <rPr>
        <sz val="11"/>
        <rFont val="Simplified Arabic Fixed"/>
      </rPr>
      <t>(a)</t>
    </r>
  </si>
  <si>
    <r>
      <t>Otros Costes D. Variables</t>
    </r>
    <r>
      <rPr>
        <sz val="11"/>
        <rFont val="Simplified Arabic Fixed"/>
      </rPr>
      <t xml:space="preserve"> (b)</t>
    </r>
  </si>
  <si>
    <t>Total Ventas del Periodo + IVA Repercutido</t>
  </si>
  <si>
    <t>Total Cobro por Ventas</t>
  </si>
  <si>
    <t>Compras y/o Costes D. V. + IVA Soportado</t>
  </si>
  <si>
    <r>
      <rPr>
        <b/>
        <sz val="26"/>
        <color theme="0"/>
        <rFont val="Calibri"/>
        <family val="2"/>
      </rPr>
      <t xml:space="preserve">¿Cuánto vamos a vender? </t>
    </r>
    <r>
      <rPr>
        <b/>
        <sz val="22"/>
        <color theme="0"/>
        <rFont val="Calibri"/>
        <family val="2"/>
      </rPr>
      <t>-</t>
    </r>
    <r>
      <rPr>
        <b/>
        <sz val="22"/>
        <rFont val="Calibri"/>
        <family val="2"/>
      </rPr>
      <t xml:space="preserve"> </t>
    </r>
    <r>
      <rPr>
        <b/>
        <sz val="16"/>
        <color indexed="23"/>
        <rFont val="Calibri"/>
        <family val="2"/>
      </rPr>
      <t>Presupuesto de ventas</t>
    </r>
  </si>
  <si>
    <r>
      <rPr>
        <b/>
        <sz val="26"/>
        <color theme="0"/>
        <rFont val="Calibri"/>
        <family val="2"/>
      </rPr>
      <t xml:space="preserve">¿Cuándo vamos a cobrarlo? </t>
    </r>
    <r>
      <rPr>
        <b/>
        <sz val="22"/>
        <color theme="0"/>
        <rFont val="Calibri"/>
        <family val="2"/>
      </rPr>
      <t>-</t>
    </r>
    <r>
      <rPr>
        <b/>
        <sz val="22"/>
        <rFont val="Calibri"/>
        <family val="2"/>
      </rPr>
      <t xml:space="preserve"> </t>
    </r>
    <r>
      <rPr>
        <b/>
        <sz val="16"/>
        <color indexed="23"/>
        <rFont val="Calibri"/>
        <family val="2"/>
      </rPr>
      <t>Plazos de cobro de las ventas</t>
    </r>
  </si>
  <si>
    <r>
      <rPr>
        <b/>
        <sz val="26"/>
        <color theme="0"/>
        <rFont val="Calibri"/>
        <family val="2"/>
      </rPr>
      <t xml:space="preserve">¿Cuándo vamos a pagarlo? </t>
    </r>
    <r>
      <rPr>
        <b/>
        <sz val="22"/>
        <color theme="0"/>
        <rFont val="Calibri"/>
        <family val="2"/>
      </rPr>
      <t>-</t>
    </r>
    <r>
      <rPr>
        <b/>
        <sz val="22"/>
        <rFont val="Calibri"/>
        <family val="2"/>
      </rPr>
      <t xml:space="preserve"> </t>
    </r>
    <r>
      <rPr>
        <b/>
        <sz val="16"/>
        <color indexed="23"/>
        <rFont val="Calibri"/>
        <family val="2"/>
      </rPr>
      <t>Plazos de pago de las compras y/o costes directos</t>
    </r>
  </si>
  <si>
    <t>Coste Directo Variable Unitario</t>
  </si>
  <si>
    <t>Precio de Venta Unitario</t>
  </si>
  <si>
    <t>Total Coste D. V. Mensual</t>
  </si>
  <si>
    <r>
      <rPr>
        <b/>
        <sz val="14"/>
        <color theme="1" tint="0.34998626667073579"/>
        <rFont val="Simplified Arabic Fixed"/>
      </rPr>
      <t>Total Costes Directos Variables</t>
    </r>
    <r>
      <rPr>
        <b/>
        <sz val="11"/>
        <color theme="1" tint="0.34998626667073579"/>
        <rFont val="Simplified Arabic Fixed"/>
      </rPr>
      <t xml:space="preserve"> </t>
    </r>
    <r>
      <rPr>
        <sz val="11"/>
        <color theme="1" tint="0.34998626667073579"/>
        <rFont val="Simplified Arabic Fixed"/>
      </rPr>
      <t>(a + b)</t>
    </r>
  </si>
  <si>
    <r>
      <t xml:space="preserve">Total Pagos por Compras </t>
    </r>
    <r>
      <rPr>
        <sz val="14"/>
        <color theme="1" tint="0.34998626667073579"/>
        <rFont val="Simplified Arabic Fixed"/>
      </rPr>
      <t>y/o Costes D.V.</t>
    </r>
  </si>
  <si>
    <r>
      <rPr>
        <b/>
        <sz val="26"/>
        <color theme="0"/>
        <rFont val="Calibri"/>
        <family val="2"/>
      </rPr>
      <t xml:space="preserve">¿Cómo vamos a cobrarlo? </t>
    </r>
    <r>
      <rPr>
        <b/>
        <sz val="22"/>
        <color theme="0"/>
        <rFont val="Calibri"/>
        <family val="2"/>
      </rPr>
      <t>-</t>
    </r>
    <r>
      <rPr>
        <b/>
        <sz val="22"/>
        <rFont val="Calibri"/>
        <family val="2"/>
      </rPr>
      <t xml:space="preserve"> </t>
    </r>
    <r>
      <rPr>
        <b/>
        <sz val="16"/>
        <color indexed="23"/>
        <rFont val="Calibri"/>
        <family val="2"/>
      </rPr>
      <t xml:space="preserve">Medios de cobro con soporte digital </t>
    </r>
    <r>
      <rPr>
        <sz val="16"/>
        <color indexed="23"/>
        <rFont val="Calibri"/>
        <family val="2"/>
      </rPr>
      <t>(tarjetas crédito, débito, ….)</t>
    </r>
  </si>
  <si>
    <t xml:space="preserve">% Coste a Pagar por la Transacción a la Entidad </t>
  </si>
  <si>
    <t>% de Cobro de Ventas con Tarjetas u Otro Medio On-Line</t>
  </si>
  <si>
    <t>Total Coste Financiero de la Transacción</t>
  </si>
  <si>
    <t>(Si en la hoja oculta "Activos de Partida" hay Derechos Pdtes de Cobro (Clientes y Deudores), los conceptos de dichas cuentas aparecerán coloreados en rojo. Puede reflejar el cobro total, o parcial, de la/s misma/s en las celdas verdes lima de aquí.</t>
  </si>
  <si>
    <r>
      <rPr>
        <b/>
        <sz val="26"/>
        <color theme="0"/>
        <rFont val="Calibri"/>
        <family val="2"/>
      </rPr>
      <t>¿Cuánto cuesta</t>
    </r>
    <r>
      <rPr>
        <b/>
        <sz val="16"/>
        <color theme="0"/>
        <rFont val="Calibri"/>
        <family val="2"/>
      </rPr>
      <t>, de media,</t>
    </r>
    <r>
      <rPr>
        <b/>
        <sz val="26"/>
        <color theme="0"/>
        <rFont val="Calibri"/>
        <family val="2"/>
      </rPr>
      <t xml:space="preserve"> atraer a un cliente nuevo? </t>
    </r>
    <r>
      <rPr>
        <b/>
        <sz val="22"/>
        <color theme="0"/>
        <rFont val="Calibri"/>
        <family val="2"/>
      </rPr>
      <t>-</t>
    </r>
    <r>
      <rPr>
        <b/>
        <sz val="22"/>
        <rFont val="Calibri"/>
        <family val="2"/>
      </rPr>
      <t xml:space="preserve"> </t>
    </r>
    <r>
      <rPr>
        <b/>
        <sz val="16"/>
        <color indexed="23"/>
        <rFont val="Calibri"/>
        <family val="2"/>
      </rPr>
      <t>Coste de Adquisición de Cliente (CAC)</t>
    </r>
  </si>
  <si>
    <t>Clientes Adquiridos en relación al 1º mes de cada ejercicio</t>
  </si>
  <si>
    <t>clientes ratio</t>
  </si>
  <si>
    <r>
      <rPr>
        <b/>
        <sz val="26"/>
        <color theme="0"/>
        <rFont val="Calibri"/>
        <family val="2"/>
      </rPr>
      <t>¿Qué rentabilidad</t>
    </r>
    <r>
      <rPr>
        <b/>
        <sz val="16"/>
        <color theme="0"/>
        <rFont val="Calibri"/>
        <family val="2"/>
      </rPr>
      <t>, media,</t>
    </r>
    <r>
      <rPr>
        <b/>
        <sz val="26"/>
        <color theme="0"/>
        <rFont val="Calibri"/>
        <family val="2"/>
      </rPr>
      <t xml:space="preserve"> obtenemos de cada cliente </t>
    </r>
    <r>
      <rPr>
        <b/>
        <sz val="16"/>
        <color theme="0"/>
        <rFont val="Calibri"/>
        <family val="2"/>
      </rPr>
      <t>a lo largo de su vida con nosotros</t>
    </r>
    <r>
      <rPr>
        <b/>
        <sz val="26"/>
        <color theme="0"/>
        <rFont val="Calibri"/>
        <family val="2"/>
      </rPr>
      <t xml:space="preserve">? </t>
    </r>
    <r>
      <rPr>
        <b/>
        <sz val="22"/>
        <color theme="0"/>
        <rFont val="Calibri"/>
        <family val="2"/>
      </rPr>
      <t>-</t>
    </r>
    <r>
      <rPr>
        <b/>
        <sz val="22"/>
        <rFont val="Calibri"/>
        <family val="2"/>
      </rPr>
      <t xml:space="preserve"> </t>
    </r>
    <r>
      <rPr>
        <b/>
        <sz val="16"/>
        <color indexed="23"/>
        <rFont val="Calibri"/>
        <family val="2"/>
      </rPr>
      <t>Ciclo de Vida del Cliente (</t>
    </r>
    <r>
      <rPr>
        <b/>
        <sz val="16"/>
        <color indexed="23"/>
        <rFont val="Calibri"/>
        <family val="2"/>
      </rPr>
      <t xml:space="preserve">LTV) </t>
    </r>
    <r>
      <rPr>
        <sz val="12"/>
        <color indexed="23"/>
        <rFont val="Calibri"/>
        <family val="2"/>
      </rPr>
      <t>(Life Time Value)</t>
    </r>
  </si>
  <si>
    <t>Empleado 6</t>
  </si>
  <si>
    <t>Empleado 7</t>
  </si>
  <si>
    <t>Empleado 8</t>
  </si>
  <si>
    <r>
      <t xml:space="preserve">Recursos Humanos (RRHH) - </t>
    </r>
    <r>
      <rPr>
        <sz val="11"/>
        <rFont val="Simplified Arabic Fixed"/>
      </rPr>
      <t>Sueldos y Salarios</t>
    </r>
  </si>
  <si>
    <r>
      <rPr>
        <b/>
        <sz val="26"/>
        <color theme="0"/>
        <rFont val="Calibri"/>
        <family val="2"/>
      </rPr>
      <t xml:space="preserve">¿Qué costes de personal </t>
    </r>
    <r>
      <rPr>
        <b/>
        <sz val="16"/>
        <color theme="0"/>
        <rFont val="Calibri"/>
        <family val="2"/>
      </rPr>
      <t>(RRHH)</t>
    </r>
    <r>
      <rPr>
        <b/>
        <sz val="26"/>
        <color theme="0"/>
        <rFont val="Calibri"/>
        <family val="2"/>
      </rPr>
      <t xml:space="preserve"> vamos a soportar? </t>
    </r>
    <r>
      <rPr>
        <b/>
        <sz val="22"/>
        <color theme="0"/>
        <rFont val="Calibri"/>
        <family val="2"/>
      </rPr>
      <t>-</t>
    </r>
    <r>
      <rPr>
        <b/>
        <sz val="22"/>
        <rFont val="Calibri"/>
        <family val="2"/>
      </rPr>
      <t xml:space="preserve"> </t>
    </r>
    <r>
      <rPr>
        <b/>
        <sz val="16"/>
        <color indexed="23"/>
        <rFont val="Calibri"/>
        <family val="2"/>
      </rPr>
      <t>Gastos de explotación</t>
    </r>
  </si>
  <si>
    <r>
      <rPr>
        <b/>
        <sz val="26"/>
        <color theme="0"/>
        <rFont val="Calibri"/>
        <family val="2"/>
      </rPr>
      <t xml:space="preserve">¿Qué otros gastos operativos vamos a soportar </t>
    </r>
    <r>
      <rPr>
        <b/>
        <sz val="16"/>
        <color theme="0"/>
        <rFont val="Calibri"/>
        <family val="2"/>
      </rPr>
      <t>para acabar de completar esta cuenta</t>
    </r>
    <r>
      <rPr>
        <b/>
        <sz val="26"/>
        <color theme="0"/>
        <rFont val="Calibri"/>
        <family val="2"/>
      </rPr>
      <t xml:space="preserve">? </t>
    </r>
    <r>
      <rPr>
        <b/>
        <sz val="22"/>
        <color theme="0"/>
        <rFont val="Calibri"/>
        <family val="2"/>
      </rPr>
      <t>-</t>
    </r>
    <r>
      <rPr>
        <b/>
        <sz val="22"/>
        <rFont val="Calibri"/>
        <family val="2"/>
      </rPr>
      <t xml:space="preserve"> </t>
    </r>
    <r>
      <rPr>
        <b/>
        <sz val="16"/>
        <color indexed="23"/>
        <rFont val="Calibri"/>
        <family val="2"/>
      </rPr>
      <t>Gastos de explotación</t>
    </r>
  </si>
  <si>
    <t>Cuenta de Resultados</t>
  </si>
  <si>
    <r>
      <t>(Todos los importes son sin IVA o Impuesto Equivalente</t>
    </r>
    <r>
      <rPr>
        <sz val="11"/>
        <color indexed="55"/>
        <rFont val="Simplified Arabic Fixed"/>
        <family val="3"/>
      </rPr>
      <t>)</t>
    </r>
  </si>
  <si>
    <t>% variación respecto al año anterior</t>
  </si>
  <si>
    <r>
      <t xml:space="preserve">Porcentaje de </t>
    </r>
    <r>
      <rPr>
        <b/>
        <sz val="11"/>
        <rFont val="Tahoma"/>
        <family val="2"/>
      </rPr>
      <t>Margen Bruto</t>
    </r>
    <r>
      <rPr>
        <sz val="11"/>
        <rFont val="Tahoma"/>
        <family val="2"/>
      </rPr>
      <t xml:space="preserve"> s/ Ventas</t>
    </r>
  </si>
  <si>
    <t>Porcentaje de Otros Costes D. Variables (b) s/ Facturación</t>
  </si>
  <si>
    <t>Porcentaje del total Costes D. Variables s/ Facturación</t>
  </si>
  <si>
    <t>Porcentaje de los Costes Fijos s/ Ventas</t>
  </si>
  <si>
    <t>Porcentaje de los Gastos Operativos s/ Ventas</t>
  </si>
  <si>
    <t>Sólo Costes Operativos</t>
  </si>
  <si>
    <r>
      <rPr>
        <b/>
        <i/>
        <sz val="28"/>
        <color theme="0" tint="-0.499984740745262"/>
        <rFont val="Calibri"/>
        <family val="2"/>
      </rPr>
      <t xml:space="preserve">Cuenta de resultados </t>
    </r>
    <r>
      <rPr>
        <sz val="28"/>
        <color theme="0" tint="-0.499984740745262"/>
        <rFont val="Calibri"/>
        <family val="2"/>
      </rPr>
      <t xml:space="preserve">o de </t>
    </r>
    <r>
      <rPr>
        <b/>
        <i/>
        <sz val="28"/>
        <color theme="0" tint="-0.499984740745262"/>
        <rFont val="Calibri"/>
        <family val="2"/>
      </rPr>
      <t>Pérdidas y ganancias</t>
    </r>
  </si>
  <si>
    <r>
      <rPr>
        <b/>
        <i/>
        <sz val="28"/>
        <color theme="0" tint="-0.499984740745262"/>
        <rFont val="Calibri"/>
        <family val="2"/>
      </rPr>
      <t xml:space="preserve">Plan de tesorería </t>
    </r>
    <r>
      <rPr>
        <sz val="28"/>
        <color theme="0" tint="-0.499984740745262"/>
        <rFont val="Calibri"/>
        <family val="2"/>
      </rPr>
      <t xml:space="preserve">o de </t>
    </r>
    <r>
      <rPr>
        <b/>
        <i/>
        <sz val="28"/>
        <color theme="0" tint="-0.499984740745262"/>
        <rFont val="Calibri"/>
        <family val="2"/>
      </rPr>
      <t>Estado de flujos de caja</t>
    </r>
  </si>
  <si>
    <r>
      <t xml:space="preserve">¿Qué entradas y salidas de dinero vamos a soportar </t>
    </r>
    <r>
      <rPr>
        <b/>
        <sz val="16"/>
        <color theme="0"/>
        <rFont val="Calibri"/>
        <family val="2"/>
      </rPr>
      <t>para acabar de completar este estado de flujos</t>
    </r>
    <r>
      <rPr>
        <b/>
        <sz val="26"/>
        <color theme="0"/>
        <rFont val="Calibri"/>
        <family val="2"/>
      </rPr>
      <t>?</t>
    </r>
  </si>
  <si>
    <t>Controles Tesorería Inversión - Financiación</t>
  </si>
  <si>
    <t>(*) Salidas de dinero para pagar las Inversiones</t>
  </si>
  <si>
    <t>Movimientos por Oper Excep (sin IVA) y Pago de Impuestos</t>
  </si>
  <si>
    <t xml:space="preserve">Sueldos y Salarios de Socios </t>
  </si>
  <si>
    <t>Sueldos y Salarios de Empleados</t>
  </si>
  <si>
    <t>SALDO FINAL</t>
  </si>
  <si>
    <r>
      <rPr>
        <b/>
        <sz val="11"/>
        <rFont val="Simplified Arabic Fixed"/>
      </rPr>
      <t>% IVA Soportado</t>
    </r>
    <r>
      <rPr>
        <sz val="11"/>
        <rFont val="Simplified Arabic Fixed"/>
      </rPr>
      <t xml:space="preserve"> de las que ADQUIRIMOS</t>
    </r>
  </si>
  <si>
    <t>Terrenos y Bienes Naturales</t>
  </si>
  <si>
    <t xml:space="preserve">Instalaciones/Acondicionamiento </t>
  </si>
  <si>
    <t xml:space="preserve">Maquinaria  </t>
  </si>
  <si>
    <t xml:space="preserve">Utillaje, Herramientas, Menaje,… </t>
  </si>
  <si>
    <t xml:space="preserve">Mobiliario y Enseres  </t>
  </si>
  <si>
    <t>Elementos de Transporte</t>
  </si>
  <si>
    <t xml:space="preserve">Equipos Informáticos y de las Comunicaciones </t>
  </si>
  <si>
    <t xml:space="preserve">Otro Inmovilizado Material  </t>
  </si>
  <si>
    <t xml:space="preserve">Gastos de I+D (Propiedad de la Innovación) </t>
  </si>
  <si>
    <t xml:space="preserve">Otro Inmovilizado Intangible </t>
  </si>
  <si>
    <t>Programas Informáticos y Páginas Web</t>
  </si>
  <si>
    <t>Propiedad Industrial e Intelectual</t>
  </si>
  <si>
    <t>AMORTIZACIÓN</t>
  </si>
  <si>
    <t xml:space="preserve">Construcciones </t>
  </si>
  <si>
    <t>Años de Vida Útil</t>
  </si>
  <si>
    <t>INVERSIONES Iniciales</t>
  </si>
  <si>
    <t>Gastos de Puesta en Marcha y Constittución</t>
  </si>
  <si>
    <t>Materias Primas, Mercaderías, etc</t>
  </si>
  <si>
    <r>
      <t xml:space="preserve">1 </t>
    </r>
    <r>
      <rPr>
        <sz val="9"/>
        <rFont val="Simplified Arabic Fixed"/>
      </rPr>
      <t xml:space="preserve">Total  </t>
    </r>
    <r>
      <rPr>
        <b/>
        <sz val="11"/>
        <rFont val="Simplified Arabic Fixed"/>
        <family val="3"/>
      </rPr>
      <t>Inmovilizado Material</t>
    </r>
  </si>
  <si>
    <r>
      <t xml:space="preserve">2 </t>
    </r>
    <r>
      <rPr>
        <sz val="9"/>
        <rFont val="Simplified Arabic Fixed"/>
      </rPr>
      <t xml:space="preserve">Total  </t>
    </r>
    <r>
      <rPr>
        <b/>
        <sz val="11"/>
        <rFont val="Simplified Arabic Fixed"/>
        <family val="3"/>
      </rPr>
      <t>Inmovilizado Intangible</t>
    </r>
  </si>
  <si>
    <t>TOTAL ACTIVOS Iniciales</t>
  </si>
  <si>
    <t xml:space="preserve">6  IVA Soportado por Adquisición Inversiones </t>
  </si>
  <si>
    <r>
      <t xml:space="preserve">7a. </t>
    </r>
    <r>
      <rPr>
        <b/>
        <sz val="11"/>
        <color rgb="FFFF0000"/>
        <rFont val="Simplified Arabic Fixed"/>
      </rPr>
      <t>TESORERÍA Necesaria</t>
    </r>
    <r>
      <rPr>
        <b/>
        <sz val="11"/>
        <rFont val="Simplified Arabic Fixed"/>
        <family val="3"/>
      </rPr>
      <t xml:space="preserve"> para pagar las Inversiones Adquiridas </t>
    </r>
  </si>
  <si>
    <r>
      <t xml:space="preserve">7b. </t>
    </r>
    <r>
      <rPr>
        <b/>
        <sz val="11"/>
        <color theme="4" tint="-0.499984740745262"/>
        <rFont val="Simplified Arabic Fixed"/>
      </rPr>
      <t>TESORERÍA Sobrante</t>
    </r>
    <r>
      <rPr>
        <b/>
        <sz val="11"/>
        <rFont val="Simplified Arabic Fixed"/>
        <family val="3"/>
      </rPr>
      <t xml:space="preserve"> después de pagar las Inversiones Adquiridas </t>
    </r>
  </si>
  <si>
    <t>FINANCIACION Inicial</t>
  </si>
  <si>
    <t>Dinero Aportado por el/los socios</t>
  </si>
  <si>
    <t>Subvenciones y Donaciones</t>
  </si>
  <si>
    <t>Crowdfunding Recompensa</t>
  </si>
  <si>
    <t>Préstamos Financieros y Crowdlending</t>
  </si>
  <si>
    <t>Préstamos de Socios, Familiares y Amigos</t>
  </si>
  <si>
    <t>Préstamos Participativos</t>
  </si>
  <si>
    <t>PATRIMONIO NETO</t>
  </si>
  <si>
    <t>DEUDAS (Pasivo)</t>
  </si>
  <si>
    <r>
      <t xml:space="preserve">3  </t>
    </r>
    <r>
      <rPr>
        <b/>
        <sz val="11"/>
        <rFont val="Simplified Arabic Fixed"/>
        <family val="3"/>
      </rPr>
      <t>Inmovilizado Financiero</t>
    </r>
  </si>
  <si>
    <t>4  Gastos para Puesta en Marcha</t>
  </si>
  <si>
    <t>5  Existencias Iniciales</t>
  </si>
  <si>
    <r>
      <t xml:space="preserve">1 </t>
    </r>
    <r>
      <rPr>
        <sz val="9"/>
        <rFont val="Simplified Arabic Fixed"/>
      </rPr>
      <t xml:space="preserve">Total  </t>
    </r>
    <r>
      <rPr>
        <b/>
        <sz val="11"/>
        <rFont val="Simplified Arabic Fixed"/>
        <family val="3"/>
      </rPr>
      <t>Capital en Dinero</t>
    </r>
  </si>
  <si>
    <r>
      <t xml:space="preserve">3 </t>
    </r>
    <r>
      <rPr>
        <sz val="9"/>
        <rFont val="Simplified Arabic Fixed"/>
      </rPr>
      <t xml:space="preserve">Total   </t>
    </r>
    <r>
      <rPr>
        <b/>
        <sz val="11"/>
        <rFont val="Simplified Arabic Fixed"/>
        <family val="3"/>
      </rPr>
      <t>Subvenciones y Donaciones</t>
    </r>
  </si>
  <si>
    <t xml:space="preserve">4  Crowdfunding </t>
  </si>
  <si>
    <t>5  Préstamos Participativos</t>
  </si>
  <si>
    <t>Bienes y Derechos Aportados por el/los socios</t>
  </si>
  <si>
    <r>
      <t xml:space="preserve">2 </t>
    </r>
    <r>
      <rPr>
        <sz val="9"/>
        <rFont val="Simplified Arabic Fixed"/>
      </rPr>
      <t xml:space="preserve">Total   </t>
    </r>
    <r>
      <rPr>
        <b/>
        <sz val="11"/>
        <rFont val="Simplified Arabic Fixed"/>
        <family val="3"/>
      </rPr>
      <t>Capital en forma de Bienes y Derechos</t>
    </r>
  </si>
  <si>
    <t>Meses de Carencia</t>
  </si>
  <si>
    <t>Gastos Formalización</t>
  </si>
  <si>
    <t>Pagos por Año</t>
  </si>
  <si>
    <t>Activo CORRIENTE</t>
  </si>
  <si>
    <t>INMOVILIZADO</t>
  </si>
  <si>
    <r>
      <rPr>
        <b/>
        <sz val="26"/>
        <color theme="0"/>
        <rFont val="Calibri"/>
        <family val="2"/>
      </rPr>
      <t>¿Qué inversiones precisamos y cómo las vamos a financiar</t>
    </r>
    <r>
      <rPr>
        <b/>
        <sz val="16"/>
        <color theme="0"/>
        <rFont val="Calibri"/>
        <family val="2"/>
      </rPr>
      <t xml:space="preserve"> para arrancar la actividad</t>
    </r>
    <r>
      <rPr>
        <b/>
        <sz val="26"/>
        <color theme="0"/>
        <rFont val="Calibri"/>
        <family val="2"/>
      </rPr>
      <t xml:space="preserve">? </t>
    </r>
    <r>
      <rPr>
        <b/>
        <sz val="22"/>
        <color theme="0"/>
        <rFont val="Calibri"/>
        <family val="2"/>
      </rPr>
      <t>-</t>
    </r>
    <r>
      <rPr>
        <b/>
        <sz val="22"/>
        <rFont val="Calibri"/>
        <family val="2"/>
      </rPr>
      <t xml:space="preserve"> </t>
    </r>
    <r>
      <rPr>
        <b/>
        <sz val="16"/>
        <color indexed="23"/>
        <rFont val="Calibri"/>
        <family val="2"/>
      </rPr>
      <t>Balance de situación de partida</t>
    </r>
  </si>
  <si>
    <t>Importe de las INVERSIONES a realizar</t>
  </si>
  <si>
    <t>Forma de FINANCIARLAS</t>
  </si>
  <si>
    <t>(**) Entradas de dinero procedente de Financiación</t>
  </si>
  <si>
    <t xml:space="preserve">   Subvenciones y Donaciones </t>
  </si>
  <si>
    <t>Ampliación de Capital de socios</t>
  </si>
  <si>
    <t>Ampliación de Capital de Inversores Externos</t>
  </si>
  <si>
    <t>Equity Crowdfunding y/u Otros Inversores Externos</t>
  </si>
  <si>
    <t>Plan de inversión y de financiación inicial</t>
  </si>
  <si>
    <t>Plan de inversión y de financiación posterior</t>
  </si>
  <si>
    <r>
      <t>¿Qué inversiones precisamos y cómo las vamos a financiar</t>
    </r>
    <r>
      <rPr>
        <b/>
        <sz val="16"/>
        <color theme="0"/>
        <rFont val="Calibri"/>
        <family val="2"/>
      </rPr>
      <t xml:space="preserve"> para seguir con la actividad</t>
    </r>
    <r>
      <rPr>
        <b/>
        <sz val="26"/>
        <color theme="0"/>
        <rFont val="Calibri"/>
        <family val="2"/>
      </rPr>
      <t xml:space="preserve">? </t>
    </r>
  </si>
  <si>
    <t>Tipo de Financiación</t>
  </si>
  <si>
    <t>TESORERÍA Necesaria</t>
  </si>
  <si>
    <t>TESORERÍA Sobrante</t>
  </si>
  <si>
    <r>
      <t xml:space="preserve">1 </t>
    </r>
    <r>
      <rPr>
        <sz val="9"/>
        <rFont val="Simplified Arabic Fixed"/>
      </rPr>
      <t xml:space="preserve">Total  </t>
    </r>
    <r>
      <rPr>
        <b/>
        <sz val="11"/>
        <rFont val="Simplified Arabic Fixed"/>
      </rPr>
      <t>Ampliación de Capital en Dinero</t>
    </r>
  </si>
  <si>
    <t>2  Subvenciones y Donaciones</t>
  </si>
  <si>
    <t xml:space="preserve">3  Crowdfunding </t>
  </si>
  <si>
    <t>4  Préstamos Participativos</t>
  </si>
  <si>
    <r>
      <t xml:space="preserve">5 </t>
    </r>
    <r>
      <rPr>
        <sz val="9"/>
        <rFont val="Simplified Arabic Fixed"/>
      </rPr>
      <t xml:space="preserve">Total   </t>
    </r>
    <r>
      <rPr>
        <b/>
        <sz val="11"/>
        <rFont val="Simplified Arabic Fixed"/>
        <family val="3"/>
      </rPr>
      <t>Préstamos</t>
    </r>
  </si>
  <si>
    <t>Financiación destinada a Tesorería</t>
  </si>
  <si>
    <t>DEVOLUCIÓN RENTING</t>
  </si>
  <si>
    <t>DEVOLUCIÓN PRÉSTAMO FINANCIERO</t>
  </si>
  <si>
    <t>DEVOLUCIÓN PRÉSTAMO PARTICIPATIVO</t>
  </si>
  <si>
    <t>Financiación destinada a Inmovilizado</t>
  </si>
  <si>
    <t>Renting</t>
  </si>
  <si>
    <t>Préstamo</t>
  </si>
  <si>
    <t>Ampliacion Capital</t>
  </si>
  <si>
    <t>Subvención</t>
  </si>
  <si>
    <t>Prestamo Socios</t>
  </si>
  <si>
    <t>(*) Salidas de dinero para pagar Inversiones</t>
  </si>
  <si>
    <t>(**) Entradas de dinero procedentes de la Financiación</t>
  </si>
  <si>
    <t xml:space="preserve">                        Datos Básicos Iniciales</t>
  </si>
  <si>
    <t>2. Sólo puede insertar y/o modificar datos, sean números, palabras o porcentajes, sobre las celdas pintadas en tonos de este color verde.</t>
  </si>
  <si>
    <t>Cuando al colocar el cursor encima de una celda de color verde se abra un desplegable, deberá escribir la opción que desee.</t>
  </si>
  <si>
    <t>Cuando en una de estas celdas haya preestablecido un nombre, número o porcentaje, si considera que no es el valor adecuado para el concepto al que hace referencia, puede sobreescribirlo y modificarlo.</t>
  </si>
  <si>
    <r>
      <rPr>
        <b/>
        <sz val="9"/>
        <rFont val="Arial"/>
        <family val="2"/>
      </rPr>
      <t>3.</t>
    </r>
    <r>
      <rPr>
        <sz val="9"/>
        <rFont val="Arial"/>
        <family val="2"/>
      </rPr>
      <t xml:space="preserve"> Hay celdas que en la esquina superior derecha tienen el símbolo de comentario (un triángulo de color rojo).</t>
    </r>
  </si>
  <si>
    <r>
      <rPr>
        <b/>
        <sz val="9"/>
        <rFont val="Arial"/>
        <family val="2"/>
      </rPr>
      <t>4.</t>
    </r>
    <r>
      <rPr>
        <sz val="9"/>
        <rFont val="Arial"/>
        <family val="2"/>
      </rPr>
      <t xml:space="preserve"> Cuando el color de relleno de algunas de las celdas aparezca en rojo, preste atención, pues le estará indicando que falta por reflejar la contrapartida de alguna operación que no ha concluido.</t>
    </r>
  </si>
  <si>
    <t>Productos / Servicios</t>
  </si>
  <si>
    <t xml:space="preserve">6. IVA Repercutido por el Crrowdfunding de Recompensa </t>
  </si>
  <si>
    <r>
      <rPr>
        <b/>
        <sz val="26"/>
        <color theme="0"/>
        <rFont val="Calibri"/>
        <family val="2"/>
      </rPr>
      <t>¿Qué rentabilidad</t>
    </r>
    <r>
      <rPr>
        <b/>
        <sz val="16"/>
        <color theme="0"/>
        <rFont val="Calibri"/>
        <family val="2"/>
      </rPr>
      <t>, media,</t>
    </r>
    <r>
      <rPr>
        <b/>
        <sz val="26"/>
        <color theme="0"/>
        <rFont val="Calibri"/>
        <family val="2"/>
      </rPr>
      <t xml:space="preserve"> obtenemos de cada cliente captado </t>
    </r>
    <r>
      <rPr>
        <b/>
        <sz val="16"/>
        <color theme="0"/>
        <rFont val="Calibri"/>
        <family val="2"/>
      </rPr>
      <t>a lo largo de su vida con nosotros</t>
    </r>
    <r>
      <rPr>
        <b/>
        <sz val="26"/>
        <color theme="0"/>
        <rFont val="Calibri"/>
        <family val="2"/>
      </rPr>
      <t xml:space="preserve">? </t>
    </r>
    <r>
      <rPr>
        <b/>
        <sz val="22"/>
        <color theme="0"/>
        <rFont val="Calibri"/>
        <family val="2"/>
      </rPr>
      <t>-</t>
    </r>
    <r>
      <rPr>
        <b/>
        <sz val="22"/>
        <rFont val="Calibri"/>
        <family val="2"/>
      </rPr>
      <t xml:space="preserve"> </t>
    </r>
    <r>
      <rPr>
        <b/>
        <sz val="16"/>
        <color indexed="23"/>
        <rFont val="Calibri"/>
        <family val="2"/>
      </rPr>
      <t xml:space="preserve">Ciclo de Vida del Cliente (LTV) </t>
    </r>
    <r>
      <rPr>
        <sz val="12"/>
        <color indexed="23"/>
        <rFont val="Calibri"/>
        <family val="2"/>
      </rPr>
      <t>(Life Time Value)</t>
    </r>
  </si>
  <si>
    <r>
      <rPr>
        <b/>
        <sz val="26"/>
        <color theme="0"/>
        <rFont val="Calibri"/>
        <family val="2"/>
      </rPr>
      <t xml:space="preserve">¿Cuánto vamos a vender? </t>
    </r>
    <r>
      <rPr>
        <b/>
        <sz val="22"/>
        <color theme="0"/>
        <rFont val="Calibri"/>
        <family val="2"/>
      </rPr>
      <t>-</t>
    </r>
    <r>
      <rPr>
        <b/>
        <sz val="22"/>
        <rFont val="Calibri"/>
        <family val="2"/>
      </rPr>
      <t xml:space="preserve"> </t>
    </r>
    <r>
      <rPr>
        <b/>
        <sz val="16"/>
        <color indexed="23"/>
        <rFont val="Calibri"/>
        <family val="2"/>
      </rPr>
      <t>Previsión de ventas</t>
    </r>
  </si>
  <si>
    <r>
      <rPr>
        <b/>
        <sz val="26"/>
        <color theme="0"/>
        <rFont val="Calibri"/>
        <family val="2"/>
      </rPr>
      <t>¿Cuánto cuesta</t>
    </r>
    <r>
      <rPr>
        <b/>
        <sz val="16"/>
        <color theme="0"/>
        <rFont val="Calibri"/>
        <family val="2"/>
      </rPr>
      <t>, de media,</t>
    </r>
    <r>
      <rPr>
        <b/>
        <sz val="26"/>
        <color theme="0"/>
        <rFont val="Calibri"/>
        <family val="2"/>
      </rPr>
      <t xml:space="preserve"> captar un nuevo cliente? </t>
    </r>
    <r>
      <rPr>
        <b/>
        <sz val="22"/>
        <color theme="0"/>
        <rFont val="Calibri"/>
        <family val="2"/>
      </rPr>
      <t>-</t>
    </r>
    <r>
      <rPr>
        <b/>
        <sz val="22"/>
        <rFont val="Calibri"/>
        <family val="2"/>
      </rPr>
      <t xml:space="preserve"> </t>
    </r>
    <r>
      <rPr>
        <b/>
        <sz val="16"/>
        <color indexed="23"/>
        <rFont val="Calibri"/>
        <family val="2"/>
      </rPr>
      <t>Coste de Adquisición de Cliente (CAC)</t>
    </r>
  </si>
  <si>
    <r>
      <rPr>
        <b/>
        <sz val="11"/>
        <rFont val="Simplified Arabic Fixed"/>
      </rPr>
      <t>.</t>
    </r>
    <r>
      <rPr>
        <sz val="11"/>
        <rFont val="Simplified Arabic Fixed"/>
      </rPr>
      <t xml:space="preserve"> Si </t>
    </r>
    <r>
      <rPr>
        <b/>
        <sz val="11"/>
        <rFont val="Simplified Arabic Fixed"/>
      </rPr>
      <t>LTV &gt; CAC</t>
    </r>
    <r>
      <rPr>
        <sz val="11"/>
        <rFont val="Simplified Arabic Fixed"/>
      </rPr>
      <t>, lo que deja un cliente es mayor que el coste que supone adquirirlo</t>
    </r>
  </si>
  <si>
    <r>
      <t xml:space="preserve">. </t>
    </r>
    <r>
      <rPr>
        <sz val="11"/>
        <rFont val="Simplified Arabic Fixed"/>
      </rPr>
      <t>Aunque cada negocio es diferente,</t>
    </r>
    <r>
      <rPr>
        <b/>
        <sz val="11"/>
        <rFont val="Simplified Arabic Fixed"/>
      </rPr>
      <t xml:space="preserve"> por regla general LTV debería ser mas o menos 3 veces mayor que CAC</t>
    </r>
  </si>
  <si>
    <r>
      <rPr>
        <b/>
        <sz val="11"/>
        <rFont val="Simplified Arabic Fixed"/>
      </rPr>
      <t>.</t>
    </r>
    <r>
      <rPr>
        <sz val="11"/>
        <rFont val="Simplified Arabic Fixed"/>
      </rPr>
      <t xml:space="preserve"> Número de veces de media que nos compra un cliente al año (RA)</t>
    </r>
  </si>
  <si>
    <r>
      <rPr>
        <b/>
        <sz val="11"/>
        <rFont val="Simplified Arabic Fixed"/>
      </rPr>
      <t>.</t>
    </r>
    <r>
      <rPr>
        <sz val="11"/>
        <rFont val="Simplified Arabic Fixed"/>
      </rPr>
      <t xml:space="preserve"> Años que se espera que tenga relación el cliente con nuestra empresa (VC)</t>
    </r>
  </si>
  <si>
    <r>
      <rPr>
        <b/>
        <sz val="11"/>
        <rFont val="Simplified Arabic Fixed"/>
      </rPr>
      <t>.</t>
    </r>
    <r>
      <rPr>
        <sz val="11"/>
        <rFont val="Simplified Arabic Fixed"/>
      </rPr>
      <t xml:space="preserve"> Si </t>
    </r>
    <r>
      <rPr>
        <b/>
        <sz val="11"/>
        <rFont val="Simplified Arabic Fixed"/>
      </rPr>
      <t>CAC &gt; Ticket Medio</t>
    </r>
    <r>
      <rPr>
        <sz val="11"/>
        <rFont val="Simplified Arabic Fixed"/>
      </rPr>
      <t>, en la primera venta no se cubre lo que cuesta captar un cliente</t>
    </r>
  </si>
  <si>
    <t xml:space="preserve">2. Coste Acumulado de Mk por Clientes Totales Adquiridos </t>
  </si>
  <si>
    <t>% de los Costes de Mk y Comunicación s/ Ventas</t>
  </si>
  <si>
    <t>Tesorería del Periodo - Burn Rate Mensual</t>
  </si>
  <si>
    <t>Meses Restantes de Liquidez  - Cash Runway</t>
  </si>
  <si>
    <t>(Si prevé ampliar o solicitar alguna Línea de Crédito para solucionar problemas puntuales de Liquidez, inserte dicho Importe en la celda DE 60). (Puede modificar las características predeterminadas de las celdas H 59 y H 60)</t>
  </si>
  <si>
    <t>Balances de situación abreviados</t>
  </si>
  <si>
    <t>Saldo de Tesorería (Disponible)</t>
  </si>
  <si>
    <r>
      <rPr>
        <sz val="10"/>
        <rFont val="Calibri"/>
        <family val="2"/>
      </rPr>
      <t xml:space="preserve">(1) </t>
    </r>
    <r>
      <rPr>
        <b/>
        <sz val="16"/>
        <rFont val="Calibri"/>
        <family val="2"/>
      </rPr>
      <t>MARGEN BRUTO S/ VENTAS</t>
    </r>
  </si>
  <si>
    <r>
      <rPr>
        <sz val="10"/>
        <rFont val="Calibri"/>
        <family val="2"/>
      </rPr>
      <t>(2)</t>
    </r>
    <r>
      <rPr>
        <b/>
        <sz val="16"/>
        <rFont val="Calibri"/>
        <family val="2"/>
      </rPr>
      <t xml:space="preserve"> EBITDA </t>
    </r>
    <r>
      <rPr>
        <sz val="11"/>
        <rFont val="Calibri"/>
        <family val="2"/>
      </rPr>
      <t>(Beneficio Antes de Int., Imp., y Amortizaciones)</t>
    </r>
  </si>
  <si>
    <r>
      <rPr>
        <sz val="10"/>
        <rFont val="Calibri"/>
        <family val="2"/>
      </rPr>
      <t xml:space="preserve">(3) </t>
    </r>
    <r>
      <rPr>
        <b/>
        <sz val="16"/>
        <rFont val="Calibri"/>
        <family val="2"/>
      </rPr>
      <t>EBIT</t>
    </r>
    <r>
      <rPr>
        <b/>
        <sz val="11"/>
        <rFont val="Calibri"/>
        <family val="2"/>
      </rPr>
      <t xml:space="preserve"> </t>
    </r>
    <r>
      <rPr>
        <sz val="11"/>
        <rFont val="Calibri"/>
        <family val="2"/>
      </rPr>
      <t>(Beneficio Antes de Intereses e Impuestos)</t>
    </r>
  </si>
  <si>
    <r>
      <rPr>
        <sz val="10"/>
        <rFont val="Calibri"/>
        <family val="2"/>
      </rPr>
      <t>(4)</t>
    </r>
    <r>
      <rPr>
        <b/>
        <sz val="16"/>
        <rFont val="Calibri"/>
        <family val="2"/>
      </rPr>
      <t xml:space="preserve"> EBT</t>
    </r>
    <r>
      <rPr>
        <b/>
        <sz val="11"/>
        <rFont val="Calibri"/>
        <family val="2"/>
      </rPr>
      <t xml:space="preserve"> </t>
    </r>
    <r>
      <rPr>
        <sz val="11"/>
        <rFont val="Calibri"/>
        <family val="2"/>
      </rPr>
      <t>(Beneficio Antes de Impuestos)</t>
    </r>
  </si>
  <si>
    <t>Cuentas de resultados abreviadas</t>
  </si>
  <si>
    <r>
      <rPr>
        <b/>
        <sz val="24"/>
        <color theme="0"/>
        <rFont val="Calibri"/>
        <family val="2"/>
      </rPr>
      <t>¿Cuál es elresultado de la actividad empresarial</t>
    </r>
    <r>
      <rPr>
        <b/>
        <sz val="26"/>
        <color theme="0"/>
        <rFont val="Calibri"/>
        <family val="2"/>
      </rPr>
      <t xml:space="preserve"> </t>
    </r>
    <r>
      <rPr>
        <b/>
        <sz val="16"/>
        <color theme="0"/>
        <rFont val="Calibri"/>
        <family val="2"/>
      </rPr>
      <t>al final de cada ejercicio económico</t>
    </r>
    <r>
      <rPr>
        <b/>
        <sz val="24"/>
        <color theme="0"/>
        <rFont val="Calibri"/>
        <family val="2"/>
      </rPr>
      <t>?</t>
    </r>
    <r>
      <rPr>
        <b/>
        <sz val="26"/>
        <color theme="0"/>
        <rFont val="Calibri"/>
        <family val="2"/>
      </rPr>
      <t xml:space="preserve"> </t>
    </r>
  </si>
  <si>
    <r>
      <rPr>
        <b/>
        <sz val="24"/>
        <color theme="0"/>
        <rFont val="Calibri"/>
        <family val="2"/>
      </rPr>
      <t>¿Cuál es la situación del patrimonio empresarial</t>
    </r>
    <r>
      <rPr>
        <b/>
        <sz val="26"/>
        <color theme="0"/>
        <rFont val="Calibri"/>
        <family val="2"/>
      </rPr>
      <t xml:space="preserve"> </t>
    </r>
    <r>
      <rPr>
        <b/>
        <sz val="16"/>
        <color theme="0"/>
        <rFont val="Calibri"/>
        <family val="2"/>
      </rPr>
      <t>al arranque de la actividad y final de cada ejercicio económico</t>
    </r>
    <r>
      <rPr>
        <b/>
        <sz val="24"/>
        <color theme="0"/>
        <rFont val="Calibri"/>
        <family val="2"/>
      </rPr>
      <t>?</t>
    </r>
    <r>
      <rPr>
        <b/>
        <sz val="26"/>
        <color theme="0"/>
        <rFont val="Calibri"/>
        <family val="2"/>
      </rPr>
      <t xml:space="preserve"> </t>
    </r>
  </si>
  <si>
    <t>total euros</t>
  </si>
  <si>
    <t>Inversión - Financiación</t>
  </si>
  <si>
    <r>
      <t xml:space="preserve">Ventas Previstas </t>
    </r>
    <r>
      <rPr>
        <sz val="10"/>
        <rFont val="Arial Narrow"/>
        <family val="2"/>
      </rPr>
      <t>(Ingresos)</t>
    </r>
  </si>
  <si>
    <t>Ventas - Márgenes - Beneficio - Cash Flow</t>
  </si>
  <si>
    <t>6  Resultados Primeros Números</t>
  </si>
  <si>
    <t>Resultado Primeros Números</t>
  </si>
  <si>
    <r>
      <t xml:space="preserve">7 </t>
    </r>
    <r>
      <rPr>
        <sz val="9"/>
        <rFont val="Simplified Arabic Fixed"/>
      </rPr>
      <t xml:space="preserve">Total   </t>
    </r>
    <r>
      <rPr>
        <b/>
        <sz val="11"/>
        <rFont val="Simplified Arabic Fixed"/>
        <family val="3"/>
      </rPr>
      <t>Préstamos</t>
    </r>
  </si>
  <si>
    <t xml:space="preserve">8. IVA Repercutido por el Crrowdfunding de Recompensa </t>
  </si>
  <si>
    <t xml:space="preserve">   1. Datos Básicos. Product-Serv</t>
  </si>
  <si>
    <t xml:space="preserve">   2. Ventas y Cobros (Ej 1º,2º)</t>
  </si>
  <si>
    <t>3. Costes D.V. y Pagos (1º,2º)</t>
  </si>
  <si>
    <t>4. Costes Mk y Métricas (1º,2º)</t>
  </si>
  <si>
    <t>5. Costes RRHH (1º,2º)</t>
  </si>
  <si>
    <t>6. P y G (1º,2º)</t>
  </si>
  <si>
    <t>7. Plan Invers-Financ (Ej 1º,2º)</t>
  </si>
  <si>
    <t>8. Tesorería (Ej 1º,2º)</t>
  </si>
  <si>
    <t>9. Abrev Balan-CtaR (Ej 1º,2º)</t>
  </si>
  <si>
    <t>Devolución en "8. Tesorería…"</t>
  </si>
  <si>
    <t>Pasa a la hoja "8. Tesorería…"</t>
  </si>
  <si>
    <t>Desocultar Pagos</t>
  </si>
  <si>
    <t>Índice de Hojas del Plan E-Financiero</t>
  </si>
  <si>
    <t>Índice de Hojas Ocultas del Plan E-Financiero - "(0)….."</t>
  </si>
  <si>
    <t>Instrucciones básicas de uso de esta hoja de cálculo o simulador "Plan E-Financiero"</t>
  </si>
  <si>
    <r>
      <rPr>
        <b/>
        <sz val="9"/>
        <rFont val="Arial"/>
        <family val="2"/>
      </rPr>
      <t>1.</t>
    </r>
    <r>
      <rPr>
        <sz val="9"/>
        <rFont val="Arial"/>
        <family val="2"/>
      </rPr>
      <t xml:space="preserve"> Esta hoja de cálculo "Plan E-Financiero" (PF) está formada por 10</t>
    </r>
    <r>
      <rPr>
        <sz val="9"/>
        <color rgb="FF92D050"/>
        <rFont val="Arial"/>
        <family val="2"/>
      </rPr>
      <t xml:space="preserve"> </t>
    </r>
    <r>
      <rPr>
        <sz val="9"/>
        <rFont val="Arial"/>
        <family val="2"/>
      </rPr>
      <t xml:space="preserve">hojas numeradas (de 1 a 10) </t>
    </r>
    <r>
      <rPr>
        <sz val="8"/>
        <rFont val="Arial"/>
        <family val="2"/>
      </rPr>
      <t>visibles</t>
    </r>
    <r>
      <rPr>
        <sz val="9"/>
        <color rgb="FFFFC000"/>
        <rFont val="Arial"/>
        <family val="2"/>
      </rPr>
      <t xml:space="preserve">, </t>
    </r>
    <r>
      <rPr>
        <sz val="9"/>
        <rFont val="Arial"/>
        <family val="2"/>
      </rPr>
      <t>y a las misma se puede acceder:</t>
    </r>
  </si>
  <si>
    <t>a. Directamente, desde el cuadro "Indice de Hojas del Plan E-Financiero" de esta hoja, colocándo el cursor sobre la celda de la hoja a la que desea entrar y activándolo, o</t>
  </si>
  <si>
    <t>b. Desplazándose por las pestañas inferiores de esta plantilla "PF" y activando la que desea abrir.</t>
  </si>
  <si>
    <r>
      <rPr>
        <b/>
        <sz val="9"/>
        <rFont val="Arial"/>
        <family val="2"/>
      </rPr>
      <t>5.</t>
    </r>
    <r>
      <rPr>
        <sz val="9"/>
        <rFont val="Arial"/>
        <family val="2"/>
      </rPr>
      <t xml:space="preserve"> El término IVA hace referencia al mismo o a cualquier otro impuesto indirecto (por ejemplo: IGIC, IPSI) que grave las operaciones realizadas por la empresa.</t>
    </r>
  </si>
  <si>
    <r>
      <rPr>
        <b/>
        <sz val="9"/>
        <rFont val="Arial"/>
        <family val="2"/>
      </rPr>
      <t>7</t>
    </r>
    <r>
      <rPr>
        <sz val="9"/>
        <rFont val="Arial"/>
        <family val="2"/>
      </rPr>
      <t xml:space="preserve">. </t>
    </r>
    <r>
      <rPr>
        <b/>
        <sz val="9"/>
        <rFont val="Arial"/>
        <family val="2"/>
      </rPr>
      <t>Si necesita más ayuda</t>
    </r>
    <r>
      <rPr>
        <sz val="9"/>
        <rFont val="Arial"/>
        <family val="2"/>
      </rPr>
      <t xml:space="preserve"> para entender la estructura, composición y operatividad de este "PF", dispone de mas i</t>
    </r>
    <r>
      <rPr>
        <b/>
        <sz val="9"/>
        <rFont val="Arial"/>
        <family val="2"/>
      </rPr>
      <t xml:space="preserve">nstrucciones en la hoja </t>
    </r>
    <r>
      <rPr>
        <sz val="9"/>
        <rFont val="Arial"/>
        <family val="2"/>
      </rPr>
      <t xml:space="preserve">titulada </t>
    </r>
    <r>
      <rPr>
        <b/>
        <sz val="9"/>
        <rFont val="Arial"/>
        <family val="2"/>
      </rPr>
      <t xml:space="preserve"> "Manual-Guía" de Apoyo para la Confección del "Plan E-Financiero"</t>
    </r>
    <r>
      <rPr>
        <sz val="9"/>
        <rFont val="Arial"/>
        <family val="2"/>
      </rPr>
      <t>.</t>
    </r>
  </si>
  <si>
    <t xml:space="preserve">  Manual-Guía de Apoyo para la Confección del "Plan E-Financiero"</t>
  </si>
  <si>
    <t>Transporte s/vtas, Comisiones s/vtas, Otros Costes s/vtas</t>
  </si>
  <si>
    <r>
      <rPr>
        <b/>
        <sz val="26"/>
        <color theme="0"/>
        <rFont val="Calibri"/>
        <family val="2"/>
      </rPr>
      <t xml:space="preserve">¿Qué costes directos variables, </t>
    </r>
    <r>
      <rPr>
        <b/>
        <sz val="16"/>
        <color theme="0"/>
        <rFont val="Calibri"/>
        <family val="2"/>
      </rPr>
      <t>afectos a los productos que compramos o servicios que contratamos</t>
    </r>
    <r>
      <rPr>
        <b/>
        <sz val="26"/>
        <color theme="0"/>
        <rFont val="Calibri"/>
        <family val="2"/>
      </rPr>
      <t>,</t>
    </r>
    <r>
      <rPr>
        <b/>
        <sz val="16"/>
        <color theme="0"/>
        <rFont val="Calibri"/>
        <family val="2"/>
      </rPr>
      <t xml:space="preserve"> </t>
    </r>
    <r>
      <rPr>
        <b/>
        <sz val="26"/>
        <color theme="0"/>
        <rFont val="Calibri"/>
        <family val="2"/>
      </rPr>
      <t>vamos a soportar</t>
    </r>
    <r>
      <rPr>
        <b/>
        <sz val="16"/>
        <color theme="0"/>
        <rFont val="Calibri"/>
        <family val="2"/>
      </rPr>
      <t xml:space="preserve"> </t>
    </r>
    <r>
      <rPr>
        <b/>
        <sz val="26"/>
        <color theme="0"/>
        <rFont val="Calibri"/>
        <family val="2"/>
      </rPr>
      <t xml:space="preserve">? </t>
    </r>
    <r>
      <rPr>
        <b/>
        <sz val="22"/>
        <color theme="0"/>
        <rFont val="Calibri"/>
        <family val="2"/>
      </rPr>
      <t>-</t>
    </r>
    <r>
      <rPr>
        <b/>
        <sz val="22"/>
        <rFont val="Calibri"/>
        <family val="2"/>
      </rPr>
      <t xml:space="preserve"> </t>
    </r>
    <r>
      <rPr>
        <b/>
        <sz val="16"/>
        <color indexed="23"/>
        <rFont val="Calibri"/>
        <family val="2"/>
      </rPr>
      <t xml:space="preserve">Costes directos </t>
    </r>
    <r>
      <rPr>
        <sz val="16"/>
        <color indexed="23"/>
        <rFont val="Calibri"/>
        <family val="2"/>
      </rPr>
      <t>en sentido</t>
    </r>
    <r>
      <rPr>
        <b/>
        <sz val="16"/>
        <color indexed="23"/>
        <rFont val="Calibri"/>
        <family val="2"/>
      </rPr>
      <t xml:space="preserve"> variable</t>
    </r>
  </si>
  <si>
    <r>
      <rPr>
        <b/>
        <sz val="26"/>
        <color theme="0"/>
        <rFont val="Calibri"/>
        <family val="2"/>
      </rPr>
      <t xml:space="preserve">¿Cuándo y qué importe de compras hay que realizar </t>
    </r>
    <r>
      <rPr>
        <b/>
        <sz val="16"/>
        <color theme="0"/>
        <rFont val="Calibri"/>
        <family val="2"/>
      </rPr>
      <t>relacionadas con los costes directos v. anteriores</t>
    </r>
    <r>
      <rPr>
        <b/>
        <sz val="26"/>
        <color theme="0"/>
        <rFont val="Calibri"/>
        <family val="2"/>
      </rPr>
      <t xml:space="preserve">? </t>
    </r>
    <r>
      <rPr>
        <b/>
        <sz val="22"/>
        <color theme="0"/>
        <rFont val="Calibri"/>
        <family val="2"/>
      </rPr>
      <t>-</t>
    </r>
    <r>
      <rPr>
        <b/>
        <sz val="22"/>
        <rFont val="Calibri"/>
        <family val="2"/>
      </rPr>
      <t xml:space="preserve"> </t>
    </r>
    <r>
      <rPr>
        <b/>
        <sz val="16"/>
        <color indexed="23"/>
        <rFont val="Calibri"/>
        <family val="2"/>
      </rPr>
      <t>Plan de compras</t>
    </r>
  </si>
  <si>
    <r>
      <rPr>
        <b/>
        <sz val="26"/>
        <color theme="0"/>
        <rFont val="Calibri"/>
        <family val="2"/>
      </rPr>
      <t xml:space="preserve">¿Qué otros costes directos variables, </t>
    </r>
    <r>
      <rPr>
        <b/>
        <sz val="16"/>
        <color theme="0"/>
        <rFont val="Calibri"/>
        <family val="2"/>
      </rPr>
      <t>según facturación</t>
    </r>
    <r>
      <rPr>
        <b/>
        <sz val="26"/>
        <color theme="0"/>
        <rFont val="Calibri"/>
        <family val="2"/>
      </rPr>
      <t>,</t>
    </r>
    <r>
      <rPr>
        <b/>
        <sz val="16"/>
        <color theme="0"/>
        <rFont val="Calibri"/>
        <family val="2"/>
      </rPr>
      <t xml:space="preserve"> </t>
    </r>
    <r>
      <rPr>
        <b/>
        <sz val="26"/>
        <color theme="0"/>
        <rFont val="Calibri"/>
        <family val="2"/>
      </rPr>
      <t xml:space="preserve">vamos a soportar? </t>
    </r>
    <r>
      <rPr>
        <b/>
        <sz val="22"/>
        <color theme="0"/>
        <rFont val="Calibri"/>
        <family val="2"/>
      </rPr>
      <t>-</t>
    </r>
    <r>
      <rPr>
        <b/>
        <sz val="22"/>
        <rFont val="Calibri"/>
        <family val="2"/>
      </rPr>
      <t xml:space="preserve"> </t>
    </r>
    <r>
      <rPr>
        <b/>
        <sz val="16"/>
        <color indexed="23"/>
        <rFont val="Calibri"/>
        <family val="2"/>
      </rPr>
      <t>Otros costes directos variables</t>
    </r>
  </si>
  <si>
    <r>
      <rPr>
        <b/>
        <sz val="26"/>
        <color theme="0"/>
        <rFont val="Calibri"/>
        <family val="2"/>
      </rPr>
      <t xml:space="preserve">¿Qué otros costes directos, </t>
    </r>
    <r>
      <rPr>
        <b/>
        <sz val="16"/>
        <color theme="0"/>
        <rFont val="Calibri"/>
        <family val="2"/>
      </rPr>
      <t>según facturación</t>
    </r>
    <r>
      <rPr>
        <b/>
        <sz val="26"/>
        <color theme="0"/>
        <rFont val="Calibri"/>
        <family val="2"/>
      </rPr>
      <t>,</t>
    </r>
    <r>
      <rPr>
        <b/>
        <sz val="16"/>
        <color theme="0"/>
        <rFont val="Calibri"/>
        <family val="2"/>
      </rPr>
      <t xml:space="preserve"> </t>
    </r>
    <r>
      <rPr>
        <b/>
        <sz val="26"/>
        <color theme="0"/>
        <rFont val="Calibri"/>
        <family val="2"/>
      </rPr>
      <t xml:space="preserve">vamos a soportar? </t>
    </r>
    <r>
      <rPr>
        <b/>
        <sz val="22"/>
        <color theme="0"/>
        <rFont val="Calibri"/>
        <family val="2"/>
      </rPr>
      <t>-</t>
    </r>
    <r>
      <rPr>
        <b/>
        <sz val="22"/>
        <rFont val="Calibri"/>
        <family val="2"/>
      </rPr>
      <t xml:space="preserve"> </t>
    </r>
    <r>
      <rPr>
        <b/>
        <sz val="16"/>
        <color indexed="23"/>
        <rFont val="Calibri"/>
        <family val="2"/>
      </rPr>
      <t>Otros costes directos variables</t>
    </r>
  </si>
  <si>
    <r>
      <rPr>
        <b/>
        <sz val="26"/>
        <color theme="0"/>
        <rFont val="Calibri"/>
        <family val="2"/>
      </rPr>
      <t xml:space="preserve">¿Qué costes de marketing vamos a soportar </t>
    </r>
    <r>
      <rPr>
        <b/>
        <sz val="16"/>
        <color theme="0"/>
        <rFont val="Calibri"/>
        <family val="2"/>
      </rPr>
      <t>para captar clientes</t>
    </r>
    <r>
      <rPr>
        <b/>
        <sz val="26"/>
        <color theme="0"/>
        <rFont val="Calibri"/>
        <family val="2"/>
      </rPr>
      <t xml:space="preserve">? </t>
    </r>
    <r>
      <rPr>
        <b/>
        <sz val="22"/>
        <color theme="0"/>
        <rFont val="Calibri"/>
        <family val="2"/>
      </rPr>
      <t>-</t>
    </r>
    <r>
      <rPr>
        <b/>
        <sz val="22"/>
        <rFont val="Calibri"/>
        <family val="2"/>
      </rPr>
      <t xml:space="preserve"> </t>
    </r>
    <r>
      <rPr>
        <b/>
        <sz val="16"/>
        <color indexed="23"/>
        <rFont val="Calibri"/>
        <family val="2"/>
      </rPr>
      <t>Gastos de explotación</t>
    </r>
  </si>
  <si>
    <t xml:space="preserve">Marketing (on y off) </t>
  </si>
  <si>
    <t>Número de Nuevos Clientes Facturables cada mes</t>
  </si>
  <si>
    <t>1. Coste de Marketing por Nuevo Cliente Facturado cada mes</t>
  </si>
  <si>
    <t>Recursos Permanentes</t>
  </si>
  <si>
    <t>(Recursos Permanentes - Activo No Corrientes)</t>
  </si>
  <si>
    <t xml:space="preserve">Costes de Marketing </t>
  </si>
  <si>
    <r>
      <rPr>
        <sz val="10"/>
        <rFont val="Calibri"/>
        <family val="2"/>
      </rPr>
      <t>(5)</t>
    </r>
    <r>
      <rPr>
        <b/>
        <sz val="16"/>
        <rFont val="Calibri"/>
        <family val="2"/>
      </rPr>
      <t xml:space="preserve"> Resultado Neto</t>
    </r>
  </si>
  <si>
    <t>10. Indicadores (Ej 1º,2º)</t>
  </si>
  <si>
    <t>Rentabilidad - Liquidez - Endeudamiento - Seguridad</t>
  </si>
  <si>
    <t>Desocultar filas 70 "Hoja 2"</t>
  </si>
  <si>
    <t>Desocultar filas 71 "Hoja 2"</t>
  </si>
  <si>
    <t>Desocultar Filas 80, Hoja 3</t>
  </si>
  <si>
    <t>Desocultar fila 81, Hoja 3</t>
  </si>
  <si>
    <t>Desocultar fila 82, Hoja 3</t>
  </si>
  <si>
    <t>(0) 6. Mas Indicadores - Objetiv</t>
  </si>
  <si>
    <t>Costes de Marketing</t>
  </si>
  <si>
    <r>
      <t xml:space="preserve">1. Marketing Digital </t>
    </r>
    <r>
      <rPr>
        <sz val="9"/>
        <rFont val="Simplified Arabic Fixed"/>
        <family val="3"/>
      </rPr>
      <t>(SEO, SEM, etc)</t>
    </r>
  </si>
  <si>
    <r>
      <t xml:space="preserve">2. Marketing Offline </t>
    </r>
    <r>
      <rPr>
        <sz val="9"/>
        <rFont val="Simplified Arabic Fixed"/>
        <family val="3"/>
      </rPr>
      <t>(Publicidad, RRPP, Promociones, etc)</t>
    </r>
  </si>
  <si>
    <r>
      <t xml:space="preserve">3. Gastos de Marketing (on y off) </t>
    </r>
    <r>
      <rPr>
        <sz val="9"/>
        <rFont val="Simplified Arabic Fixed"/>
      </rPr>
      <t>independiente de las ventas</t>
    </r>
  </si>
  <si>
    <r>
      <rPr>
        <sz val="11"/>
        <rFont val="Simplified Arabic Fixed"/>
      </rPr>
      <t>Valor de las que</t>
    </r>
    <r>
      <rPr>
        <b/>
        <sz val="11"/>
        <rFont val="Simplified Arabic Fixed"/>
        <family val="3"/>
      </rPr>
      <t xml:space="preserve"> </t>
    </r>
    <r>
      <rPr>
        <b/>
        <sz val="12"/>
        <rFont val="Simplified Arabic Fixed"/>
      </rPr>
      <t>APORTAMOS</t>
    </r>
  </si>
  <si>
    <r>
      <rPr>
        <sz val="11"/>
        <rFont val="Simplified Arabic Fixed"/>
      </rPr>
      <t>Importe de las que</t>
    </r>
    <r>
      <rPr>
        <b/>
        <sz val="11"/>
        <rFont val="Simplified Arabic Fixed"/>
        <family val="3"/>
      </rPr>
      <t xml:space="preserve"> </t>
    </r>
    <r>
      <rPr>
        <b/>
        <sz val="12"/>
        <rFont val="Simplified Arabic Fixed"/>
      </rPr>
      <t>ADQUIRIMOS</t>
    </r>
  </si>
  <si>
    <r>
      <rPr>
        <sz val="11"/>
        <rFont val="Simplified Arabic Fixed"/>
      </rPr>
      <t>Importe de la</t>
    </r>
    <r>
      <rPr>
        <b/>
        <sz val="11"/>
        <rFont val="Simplified Arabic Fixed"/>
        <family val="3"/>
      </rPr>
      <t xml:space="preserve"> </t>
    </r>
    <r>
      <rPr>
        <b/>
        <sz val="12"/>
        <rFont val="Simplified Arabic Fixed"/>
      </rPr>
      <t>FINANCIACIÓN</t>
    </r>
  </si>
  <si>
    <r>
      <t xml:space="preserve">DEVOLUCIÓN </t>
    </r>
    <r>
      <rPr>
        <sz val="11"/>
        <rFont val="Simplified Arabic Fixed"/>
      </rPr>
      <t xml:space="preserve">de la </t>
    </r>
    <r>
      <rPr>
        <b/>
        <sz val="11"/>
        <rFont val="Simplified Arabic Fixed"/>
      </rPr>
      <t xml:space="preserve">FINANCIACIÓN </t>
    </r>
    <r>
      <rPr>
        <sz val="11"/>
        <rFont val="Simplified Arabic Fixed"/>
      </rPr>
      <t>con COSTE</t>
    </r>
  </si>
  <si>
    <t>Descuadre</t>
  </si>
  <si>
    <t xml:space="preserve"> Hacienda Pública Acreedora por IVA</t>
  </si>
  <si>
    <t>(Si en la hoja oculta "Pasivos de Partida" hay Deudas Pdtes a Pagar (referentes a las celdas B25, B27 y B29+B30 de dicha hoja), los conceptos de dichas cuentas aparecerán coloreados en rojo. Puede reflejar el pago total, o parcial de la/s misma/s en las celdas verdes lima)</t>
  </si>
  <si>
    <t>Importe Sin IVA</t>
  </si>
  <si>
    <r>
      <t xml:space="preserve">¿Cuál es el </t>
    </r>
    <r>
      <rPr>
        <b/>
        <sz val="16"/>
        <color theme="0"/>
        <rFont val="Calibri"/>
        <family val="2"/>
      </rPr>
      <t>margen bruto</t>
    </r>
    <r>
      <rPr>
        <b/>
        <sz val="14"/>
        <color theme="0"/>
        <rFont val="Calibri"/>
        <family val="2"/>
      </rPr>
      <t>?</t>
    </r>
  </si>
  <si>
    <r>
      <t xml:space="preserve">¿Cuál es el </t>
    </r>
    <r>
      <rPr>
        <b/>
        <sz val="16"/>
        <color theme="0"/>
        <rFont val="Calibri"/>
        <family val="2"/>
      </rPr>
      <t>coste directo</t>
    </r>
    <r>
      <rPr>
        <b/>
        <sz val="14"/>
        <color theme="0"/>
        <rFont val="Calibri"/>
        <family val="2"/>
      </rPr>
      <t>?</t>
    </r>
  </si>
  <si>
    <r>
      <t xml:space="preserve">¿A qué </t>
    </r>
    <r>
      <rPr>
        <b/>
        <sz val="16"/>
        <color theme="0"/>
        <rFont val="Calibri"/>
        <family val="2"/>
      </rPr>
      <t>precio</t>
    </r>
    <r>
      <rPr>
        <b/>
        <sz val="14"/>
        <color theme="0"/>
        <rFont val="Calibri"/>
        <family val="2"/>
      </rPr>
      <t xml:space="preserve"> vamos </t>
    </r>
    <r>
      <rPr>
        <b/>
        <sz val="16"/>
        <color theme="0"/>
        <rFont val="Calibri"/>
        <family val="2"/>
      </rPr>
      <t>a vender</t>
    </r>
    <r>
      <rPr>
        <b/>
        <sz val="14"/>
        <color theme="0"/>
        <rFont val="Calibri"/>
        <family val="2"/>
      </rPr>
      <t>?</t>
    </r>
  </si>
  <si>
    <r>
      <t>¿</t>
    </r>
    <r>
      <rPr>
        <b/>
        <sz val="16"/>
        <color theme="0"/>
        <rFont val="Calibri"/>
        <family val="2"/>
      </rPr>
      <t>Qué</t>
    </r>
    <r>
      <rPr>
        <b/>
        <sz val="14"/>
        <color theme="0"/>
        <rFont val="Calibri"/>
        <family val="2"/>
      </rPr>
      <t xml:space="preserve"> vamos a</t>
    </r>
    <r>
      <rPr>
        <b/>
        <sz val="16"/>
        <color theme="0"/>
        <rFont val="Calibri"/>
        <family val="2"/>
      </rPr>
      <t xml:space="preserve"> vender</t>
    </r>
    <r>
      <rPr>
        <b/>
        <sz val="14"/>
        <color theme="0"/>
        <rFont val="Calibri"/>
        <family val="2"/>
      </rPr>
      <t>?</t>
    </r>
  </si>
  <si>
    <t>(Siempre que los importes de las celdas de la fila 60 sean positivos, podrá Distribuir el Resultado neto entre los conceptos reflejados en las celdas A62 - A65). (Tener en cuenta que para Pagar Dividendos hay que disponer de Tesorería).</t>
  </si>
  <si>
    <t>Enero 2017</t>
  </si>
  <si>
    <t>DEVOLUCIÓN PRÉSTAMO FINANCIERO y CROWDLENDING</t>
  </si>
  <si>
    <t xml:space="preserve"> "PLAN E-FINANCIERO" </t>
  </si>
  <si>
    <r>
      <t>Emprendedor/a</t>
    </r>
    <r>
      <rPr>
        <sz val="11"/>
        <rFont val="Simplified Arabic Fixed"/>
      </rPr>
      <t xml:space="preserve">-Socio/a </t>
    </r>
    <r>
      <rPr>
        <b/>
        <sz val="11"/>
        <rFont val="Simplified Arabic Fixed"/>
      </rPr>
      <t xml:space="preserve">1 </t>
    </r>
  </si>
  <si>
    <r>
      <t>Emprendedor/a</t>
    </r>
    <r>
      <rPr>
        <sz val="11"/>
        <rFont val="Simplified Arabic Fixed"/>
      </rPr>
      <t xml:space="preserve">-Socio/a </t>
    </r>
    <r>
      <rPr>
        <b/>
        <sz val="11"/>
        <rFont val="Simplified Arabic Fixed"/>
      </rPr>
      <t>2</t>
    </r>
    <r>
      <rPr>
        <sz val="11"/>
        <color theme="1"/>
        <rFont val="Calibri"/>
        <family val="2"/>
        <scheme val="minor"/>
      </rPr>
      <t/>
    </r>
  </si>
  <si>
    <r>
      <t>Emprendedor/a</t>
    </r>
    <r>
      <rPr>
        <sz val="11"/>
        <rFont val="Simplified Arabic Fixed"/>
      </rPr>
      <t xml:space="preserve">-Socio/a </t>
    </r>
    <r>
      <rPr>
        <b/>
        <sz val="11"/>
        <rFont val="Simplified Arabic Fixed"/>
      </rPr>
      <t>3</t>
    </r>
    <r>
      <rPr>
        <sz val="11"/>
        <color theme="1"/>
        <rFont val="Calibri"/>
        <family val="2"/>
        <scheme val="minor"/>
      </rPr>
      <t/>
    </r>
  </si>
  <si>
    <r>
      <t>Emprendedor/a</t>
    </r>
    <r>
      <rPr>
        <sz val="11"/>
        <rFont val="Simplified Arabic Fixed"/>
      </rPr>
      <t xml:space="preserve">-Socio/a </t>
    </r>
    <r>
      <rPr>
        <b/>
        <sz val="11"/>
        <rFont val="Simplified Arabic Fixed"/>
      </rPr>
      <t>4</t>
    </r>
    <r>
      <rPr>
        <sz val="11"/>
        <color theme="1"/>
        <rFont val="Calibri"/>
        <family val="2"/>
        <scheme val="minor"/>
      </rPr>
      <t/>
    </r>
  </si>
  <si>
    <t>Empleado/a 1</t>
  </si>
  <si>
    <t>Empleado/a 2</t>
  </si>
  <si>
    <t>Empleado/a 3</t>
  </si>
  <si>
    <t>Empleado/a 4</t>
  </si>
  <si>
    <t>Empleado/a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</si>
</sst>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0\ &quot;€&quot;;[Red]\-#,##0\ &quot;€&quot;"/>
    <numFmt numFmtId="7" formatCode="#,##0.00\ &quot;€&quot;;\-#,##0.00\ &quot;€&quot;"/>
    <numFmt numFmtId="8" formatCode="#,##0.00\ &quot;€&quot;;[Red]\-#,##0.00\ &quot;€&quot;"/>
    <numFmt numFmtId="44" formatCode="_-* #,##0.00\ &quot;€&quot;_-;\-* #,##0.00\ &quot;€&quot;_-;_-* &quot;-&quot;??\ &quot;€&quot;_-;_-@_-"/>
    <numFmt numFmtId="164" formatCode="_-* #,##0\ _P_t_s_-;\-* #,##0\ _P_t_s_-;_-* &quot;-&quot;\ _P_t_s_-;_-@_-"/>
    <numFmt numFmtId="165" formatCode="_-* #,##0.00\ _P_t_s_-;\-* #,##0.00\ _P_t_s_-;_-* &quot;-&quot;??\ _P_t_s_-;_-@_-"/>
    <numFmt numFmtId="166" formatCode="0.0%"/>
    <numFmt numFmtId="167" formatCode="#,##0.0000000000"/>
    <numFmt numFmtId="168" formatCode="#,##0_ ;[Red]\-#,##0\ "/>
    <numFmt numFmtId="169" formatCode="0.00%;[Red]\(0.00\)%"/>
    <numFmt numFmtId="170" formatCode="#,##0\ &quot;días&quot;"/>
    <numFmt numFmtId="171" formatCode="d\ &quot;de&quot;\ mmmm\ &quot;de&quot;\ yyyy"/>
    <numFmt numFmtId="172" formatCode="0_ ;[Red]\-0\ "/>
    <numFmt numFmtId="173" formatCode="#,##0.00\ &quot;€&quot;"/>
    <numFmt numFmtId="174" formatCode="#,##0.0_ ;[Red]\-#,##0.0\ "/>
    <numFmt numFmtId="175" formatCode="\ \ \ @"/>
    <numFmt numFmtId="176" formatCode="_-* #,##0.00\ [$€]_-;\-* #,##0.00\ [$€]_-;_-* &quot;-&quot;??\ [$€]_-;_-@_-"/>
    <numFmt numFmtId="177" formatCode="#,##0.0"/>
    <numFmt numFmtId="178" formatCode="0.0"/>
    <numFmt numFmtId="179" formatCode="#,##0.0\ _€;[Red]\-#,##0.0\ _€"/>
    <numFmt numFmtId="180" formatCode="#,##0.0_ ;\-#,##0.0\ "/>
    <numFmt numFmtId="181" formatCode="#,##0.0;[Red]#,##0.0"/>
    <numFmt numFmtId="182" formatCode="#,##0.0\ &quot;€&quot;"/>
    <numFmt numFmtId="183" formatCode="[$-C0A]d\ &quot;de&quot;\ mmmm\ &quot;de&quot;\ yyyy;@"/>
    <numFmt numFmtId="184" formatCode="#,##0\ _€"/>
    <numFmt numFmtId="185" formatCode="#,##0_ ;\-#,##0\ "/>
    <numFmt numFmtId="186" formatCode="0.0_ ;[Red]\-0.0\ "/>
  </numFmts>
  <fonts count="333">
    <font>
      <sz val="10"/>
      <name val="Times New Roman"/>
      <family val="1"/>
    </font>
    <font>
      <sz val="11"/>
      <color theme="1"/>
      <name val="Calibri"/>
      <family val="2"/>
      <scheme val="minor"/>
    </font>
    <font>
      <sz val="10"/>
      <name val="Arial"/>
      <family val="2"/>
    </font>
    <font>
      <sz val="10"/>
      <name val="Times New Roman"/>
      <family val="1"/>
    </font>
    <font>
      <b/>
      <sz val="10"/>
      <name val="Times New Roman"/>
      <family val="1"/>
    </font>
    <font>
      <b/>
      <sz val="12"/>
      <name val="Times New Roman"/>
      <family val="1"/>
    </font>
    <font>
      <b/>
      <sz val="20"/>
      <name val="Times New Roman"/>
      <family val="1"/>
    </font>
    <font>
      <b/>
      <sz val="12"/>
      <name val="Times New Roman"/>
      <family val="1"/>
    </font>
    <font>
      <sz val="12"/>
      <name val="Times New Roman"/>
      <family val="1"/>
    </font>
    <font>
      <sz val="8"/>
      <name val="Times New Roman"/>
      <family val="1"/>
    </font>
    <font>
      <sz val="8"/>
      <color indexed="81"/>
      <name val="Tahoma"/>
      <family val="2"/>
    </font>
    <font>
      <b/>
      <u/>
      <sz val="12"/>
      <name val="Times New Roman"/>
      <family val="1"/>
    </font>
    <font>
      <u/>
      <sz val="10"/>
      <color indexed="12"/>
      <name val="Times New Roman"/>
      <family val="1"/>
    </font>
    <font>
      <sz val="10"/>
      <color indexed="18"/>
      <name val="Times New Roman"/>
      <family val="1"/>
    </font>
    <font>
      <b/>
      <sz val="18"/>
      <name val="Times New Roman"/>
      <family val="1"/>
    </font>
    <font>
      <b/>
      <sz val="11"/>
      <name val="Times New Roman"/>
      <family val="1"/>
    </font>
    <font>
      <sz val="11"/>
      <name val="Times New Roman"/>
      <family val="1"/>
    </font>
    <font>
      <sz val="9"/>
      <name val="Times New Roman"/>
      <family val="1"/>
    </font>
    <font>
      <sz val="14"/>
      <color indexed="18"/>
      <name val="Times New Roman"/>
      <family val="1"/>
    </font>
    <font>
      <sz val="10"/>
      <color indexed="81"/>
      <name val="Tahoma"/>
      <family val="2"/>
    </font>
    <font>
      <sz val="10"/>
      <color indexed="81"/>
      <name val="Times New Roman"/>
      <family val="1"/>
    </font>
    <font>
      <sz val="11"/>
      <color indexed="81"/>
      <name val="Tahoma"/>
      <family val="2"/>
    </font>
    <font>
      <sz val="11"/>
      <color indexed="81"/>
      <name val="Times New Roman"/>
      <family val="1"/>
    </font>
    <font>
      <sz val="11"/>
      <color indexed="9"/>
      <name val="Times New Roman"/>
      <family val="1"/>
    </font>
    <font>
      <u/>
      <sz val="10"/>
      <name val="Times New Roman"/>
      <family val="1"/>
    </font>
    <font>
      <sz val="10"/>
      <name val="Times New Roman"/>
      <family val="1"/>
    </font>
    <font>
      <sz val="9"/>
      <color indexed="81"/>
      <name val="Tahoma"/>
      <family val="2"/>
    </font>
    <font>
      <b/>
      <sz val="10"/>
      <color indexed="81"/>
      <name val="Tahoma"/>
      <family val="2"/>
    </font>
    <font>
      <sz val="8"/>
      <color indexed="61"/>
      <name val="Times New Roman"/>
      <family val="1"/>
    </font>
    <font>
      <sz val="8"/>
      <color indexed="63"/>
      <name val="Times New Roman"/>
      <family val="1"/>
    </font>
    <font>
      <sz val="8"/>
      <color indexed="51"/>
      <name val="Times New Roman"/>
      <family val="1"/>
    </font>
    <font>
      <sz val="8"/>
      <color indexed="60"/>
      <name val="Times New Roman"/>
      <family val="1"/>
    </font>
    <font>
      <b/>
      <sz val="11"/>
      <name val="Simplified Arabic Fixed"/>
      <family val="3"/>
    </font>
    <font>
      <b/>
      <sz val="9"/>
      <name val="Simplified Arabic Fixed"/>
      <family val="3"/>
    </font>
    <font>
      <sz val="9"/>
      <name val="Simplified Arabic Fixed"/>
      <family val="3"/>
    </font>
    <font>
      <b/>
      <sz val="10"/>
      <name val="Simplified Arabic Fixed"/>
      <family val="3"/>
    </font>
    <font>
      <sz val="11"/>
      <name val="Simplified Arabic Fixed"/>
      <family val="3"/>
    </font>
    <font>
      <sz val="10"/>
      <name val="Simplified Arabic Fixed"/>
      <family val="3"/>
    </font>
    <font>
      <b/>
      <sz val="14"/>
      <name val="Simplified Arabic Fixed"/>
      <family val="3"/>
    </font>
    <font>
      <b/>
      <sz val="12"/>
      <name val="Simplified Arabic Fixed"/>
      <family val="3"/>
    </font>
    <font>
      <b/>
      <sz val="8"/>
      <name val="Simplified Arabic Fixed"/>
      <family val="3"/>
    </font>
    <font>
      <sz val="8"/>
      <name val="Simplified Arabic Fixed"/>
      <family val="3"/>
    </font>
    <font>
      <b/>
      <sz val="18"/>
      <name val="Simplified Arabic Fixed"/>
      <family val="3"/>
    </font>
    <font>
      <sz val="12"/>
      <name val="Simplified Arabic Fixed"/>
      <family val="3"/>
    </font>
    <font>
      <b/>
      <sz val="20"/>
      <name val="Simplified Arabic Fixed"/>
      <family val="3"/>
    </font>
    <font>
      <b/>
      <sz val="9"/>
      <color indexed="10"/>
      <name val="Simplified Arabic Fixed"/>
      <family val="3"/>
    </font>
    <font>
      <u/>
      <sz val="10"/>
      <name val="Simplified Arabic Fixed"/>
      <family val="3"/>
    </font>
    <font>
      <b/>
      <sz val="12"/>
      <color indexed="12"/>
      <name val="Simplified Arabic Fixed"/>
      <family val="3"/>
    </font>
    <font>
      <sz val="14"/>
      <name val="Simplified Arabic Fixed"/>
      <family val="3"/>
    </font>
    <font>
      <b/>
      <sz val="16"/>
      <name val="Simplified Arabic Fixed"/>
      <family val="3"/>
    </font>
    <font>
      <sz val="16"/>
      <name val="Simplified Arabic Fixed"/>
      <family val="3"/>
    </font>
    <font>
      <sz val="16"/>
      <color indexed="9"/>
      <name val="Simplified Arabic Fixed"/>
      <family val="3"/>
    </font>
    <font>
      <b/>
      <sz val="11"/>
      <color indexed="10"/>
      <name val="Simplified Arabic Fixed"/>
      <family val="3"/>
    </font>
    <font>
      <sz val="10"/>
      <color indexed="10"/>
      <name val="Simplified Arabic Fixed"/>
      <family val="3"/>
    </font>
    <font>
      <sz val="10"/>
      <color indexed="53"/>
      <name val="Simplified Arabic Fixed"/>
      <family val="3"/>
    </font>
    <font>
      <sz val="8"/>
      <color indexed="53"/>
      <name val="Simplified Arabic Fixed"/>
      <family val="3"/>
    </font>
    <font>
      <sz val="11"/>
      <color indexed="55"/>
      <name val="Simplified Arabic Fixed"/>
      <family val="3"/>
    </font>
    <font>
      <sz val="8"/>
      <color indexed="48"/>
      <name val="Simplified Arabic Fixed"/>
      <family val="3"/>
    </font>
    <font>
      <b/>
      <u/>
      <sz val="11"/>
      <color indexed="53"/>
      <name val="Simplified Arabic Fixed"/>
      <family val="3"/>
    </font>
    <font>
      <u/>
      <sz val="11"/>
      <color indexed="53"/>
      <name val="Simplified Arabic Fixed"/>
      <family val="3"/>
    </font>
    <font>
      <u/>
      <sz val="10"/>
      <color indexed="53"/>
      <name val="Simplified Arabic Fixed"/>
      <family val="3"/>
    </font>
    <font>
      <sz val="30"/>
      <name val="Simplified Arabic Fixed"/>
      <family val="3"/>
    </font>
    <font>
      <sz val="36"/>
      <name val="Simplified Arabic Fixed"/>
      <family val="3"/>
    </font>
    <font>
      <b/>
      <i/>
      <u/>
      <sz val="12"/>
      <name val="Simplified Arabic Fixed"/>
      <family val="3"/>
    </font>
    <font>
      <b/>
      <i/>
      <sz val="12"/>
      <name val="Simplified Arabic Fixed"/>
      <family val="3"/>
    </font>
    <font>
      <b/>
      <sz val="11"/>
      <color indexed="8"/>
      <name val="Simplified Arabic Fixed"/>
      <family val="3"/>
    </font>
    <font>
      <sz val="12"/>
      <color indexed="12"/>
      <name val="Simplified Arabic Fixed"/>
      <family val="3"/>
    </font>
    <font>
      <sz val="12"/>
      <color indexed="10"/>
      <name val="Simplified Arabic Fixed"/>
      <family val="3"/>
    </font>
    <font>
      <sz val="8"/>
      <name val="Simplified Arabic"/>
      <family val="1"/>
    </font>
    <font>
      <b/>
      <sz val="9"/>
      <color indexed="81"/>
      <name val="Tahoma"/>
      <family val="2"/>
    </font>
    <font>
      <sz val="16"/>
      <name val="Times New Roman"/>
      <family val="1"/>
    </font>
    <font>
      <b/>
      <sz val="16"/>
      <name val="Times New Roman"/>
      <family val="1"/>
    </font>
    <font>
      <strike/>
      <sz val="10"/>
      <name val="Simplified Arabic Fixed"/>
      <family val="3"/>
    </font>
    <font>
      <b/>
      <sz val="9"/>
      <name val="Times New Roman"/>
      <family val="1"/>
    </font>
    <font>
      <strike/>
      <sz val="12"/>
      <name val="Simplified Arabic Fixed"/>
      <family val="3"/>
    </font>
    <font>
      <b/>
      <u/>
      <sz val="10"/>
      <name val="Times New Roman"/>
      <family val="1"/>
    </font>
    <font>
      <b/>
      <sz val="9"/>
      <name val="Simplified Arabic Fixed"/>
    </font>
    <font>
      <b/>
      <sz val="16"/>
      <name val="Simplified Arabic Fixed"/>
    </font>
    <font>
      <b/>
      <sz val="9"/>
      <color indexed="23"/>
      <name val="Simplified Arabic Fixed"/>
      <family val="3"/>
    </font>
    <font>
      <b/>
      <sz val="8"/>
      <name val="Arial Narrow"/>
      <family val="2"/>
    </font>
    <font>
      <sz val="8"/>
      <name val="Arial Narrow"/>
      <family val="2"/>
    </font>
    <font>
      <sz val="10"/>
      <name val="Arial Narrow"/>
      <family val="2"/>
    </font>
    <font>
      <b/>
      <sz val="10"/>
      <name val="Arial Narrow"/>
      <family val="2"/>
    </font>
    <font>
      <b/>
      <sz val="12"/>
      <name val="Arial Narrow"/>
      <family val="2"/>
    </font>
    <font>
      <b/>
      <sz val="9"/>
      <name val="Arial Narrow"/>
      <family val="2"/>
    </font>
    <font>
      <sz val="18"/>
      <name val="Arial Narrow"/>
      <family val="2"/>
    </font>
    <font>
      <b/>
      <sz val="11"/>
      <name val="Arial Narrow"/>
      <family val="2"/>
    </font>
    <font>
      <sz val="9"/>
      <name val="Arial Narrow"/>
      <family val="2"/>
    </font>
    <font>
      <b/>
      <sz val="11"/>
      <color indexed="55"/>
      <name val="Simplified Arabic Fixed"/>
      <family val="3"/>
    </font>
    <font>
      <b/>
      <sz val="11"/>
      <color indexed="63"/>
      <name val="Simplified Arabic Fixed"/>
      <family val="3"/>
    </font>
    <font>
      <sz val="11"/>
      <name val="Simplified Arabic Fixed"/>
    </font>
    <font>
      <b/>
      <sz val="10"/>
      <name val="Simplified Arabic Fixed"/>
    </font>
    <font>
      <b/>
      <sz val="11"/>
      <name val="Simplified Arabic Fixed"/>
    </font>
    <font>
      <sz val="9"/>
      <name val="Simplified Arabic Fixed"/>
    </font>
    <font>
      <b/>
      <sz val="9"/>
      <color indexed="22"/>
      <name val="Simplified Arabic Fixed"/>
      <family val="3"/>
    </font>
    <font>
      <b/>
      <sz val="11"/>
      <name val="Arial"/>
      <family val="2"/>
    </font>
    <font>
      <sz val="16"/>
      <name val="Calibri"/>
      <family val="2"/>
    </font>
    <font>
      <sz val="12"/>
      <color indexed="81"/>
      <name val="Tahoma"/>
      <family val="2"/>
    </font>
    <font>
      <sz val="9"/>
      <name val="Tahoma"/>
      <family val="2"/>
    </font>
    <font>
      <b/>
      <sz val="9"/>
      <name val="Tahoma"/>
      <family val="2"/>
    </font>
    <font>
      <b/>
      <sz val="22"/>
      <name val="Calibri"/>
      <family val="2"/>
    </font>
    <font>
      <b/>
      <sz val="26"/>
      <name val="Calibri"/>
      <family val="2"/>
    </font>
    <font>
      <sz val="16"/>
      <color indexed="23"/>
      <name val="Calibri"/>
      <family val="2"/>
    </font>
    <font>
      <sz val="10"/>
      <color indexed="61"/>
      <name val="Times New Roman"/>
      <family val="1"/>
    </font>
    <font>
      <sz val="10"/>
      <color indexed="63"/>
      <name val="Times New Roman"/>
      <family val="1"/>
    </font>
    <font>
      <b/>
      <sz val="9"/>
      <color indexed="60"/>
      <name val="Times New Roman"/>
      <family val="1"/>
    </font>
    <font>
      <b/>
      <sz val="9"/>
      <color indexed="51"/>
      <name val="Times New Roman"/>
      <family val="1"/>
    </font>
    <font>
      <b/>
      <sz val="10"/>
      <color indexed="55"/>
      <name val="Times New Roman"/>
      <family val="1"/>
    </font>
    <font>
      <sz val="9"/>
      <color indexed="60"/>
      <name val="Times New Roman"/>
      <family val="1"/>
    </font>
    <font>
      <b/>
      <sz val="9"/>
      <color indexed="61"/>
      <name val="Times New Roman"/>
      <family val="1"/>
    </font>
    <font>
      <sz val="9"/>
      <color indexed="61"/>
      <name val="Times New Roman"/>
      <family val="1"/>
    </font>
    <font>
      <sz val="9"/>
      <color indexed="51"/>
      <name val="Times New Roman"/>
      <family val="1"/>
    </font>
    <font>
      <sz val="9"/>
      <color indexed="63"/>
      <name val="Times New Roman"/>
      <family val="1"/>
    </font>
    <font>
      <b/>
      <sz val="9"/>
      <color indexed="63"/>
      <name val="Times New Roman"/>
      <family val="1"/>
    </font>
    <font>
      <sz val="11"/>
      <color indexed="55"/>
      <name val="Times New Roman"/>
      <family val="1"/>
    </font>
    <font>
      <b/>
      <sz val="18"/>
      <color indexed="53"/>
      <name val="Times New Roman"/>
      <family val="1"/>
    </font>
    <font>
      <b/>
      <sz val="11"/>
      <color indexed="53"/>
      <name val="Times New Roman"/>
      <family val="1"/>
    </font>
    <font>
      <sz val="9"/>
      <color indexed="23"/>
      <name val="Times New Roman"/>
      <family val="1"/>
    </font>
    <font>
      <sz val="10"/>
      <color indexed="23"/>
      <name val="Times New Roman"/>
      <family val="1"/>
    </font>
    <font>
      <sz val="11"/>
      <color indexed="55"/>
      <name val="Simplified Arabic Fixed"/>
      <family val="3"/>
    </font>
    <font>
      <sz val="10"/>
      <color indexed="55"/>
      <name val="Simplified Arabic Fixed"/>
      <family val="3"/>
    </font>
    <font>
      <b/>
      <sz val="10"/>
      <color indexed="55"/>
      <name val="Simplified Arabic Fixed"/>
      <family val="3"/>
    </font>
    <font>
      <sz val="8"/>
      <color indexed="47"/>
      <name val="Simplified Arabic Fixed"/>
      <family val="3"/>
    </font>
    <font>
      <b/>
      <sz val="18"/>
      <color indexed="53"/>
      <name val="Simplified Arabic Fixed"/>
      <family val="3"/>
    </font>
    <font>
      <sz val="11"/>
      <color indexed="53"/>
      <name val="Simplified Arabic Fixed"/>
      <family val="3"/>
    </font>
    <font>
      <b/>
      <sz val="11"/>
      <color indexed="10"/>
      <name val="Simplified Arabic Fixed"/>
      <family val="3"/>
    </font>
    <font>
      <b/>
      <sz val="12"/>
      <color indexed="22"/>
      <name val="Simplified Arabic Fixed"/>
      <family val="3"/>
    </font>
    <font>
      <sz val="12"/>
      <color indexed="22"/>
      <name val="Simplified Arabic Fixed"/>
      <family val="3"/>
    </font>
    <font>
      <sz val="9"/>
      <color indexed="22"/>
      <name val="Simplified Arabic Fixed"/>
      <family val="3"/>
    </font>
    <font>
      <sz val="10"/>
      <color indexed="9"/>
      <name val="Simplified Arabic Fixed"/>
      <family val="3"/>
    </font>
    <font>
      <sz val="11"/>
      <color indexed="29"/>
      <name val="Simplified Arabic Fixed"/>
      <family val="3"/>
    </font>
    <font>
      <sz val="10"/>
      <color indexed="22"/>
      <name val="Simplified Arabic Fixed"/>
      <family val="3"/>
    </font>
    <font>
      <sz val="8"/>
      <color indexed="22"/>
      <name val="Simplified Arabic Fixed"/>
      <family val="3"/>
    </font>
    <font>
      <b/>
      <sz val="11"/>
      <color indexed="53"/>
      <name val="Simplified Arabic Fixed"/>
      <family val="3"/>
    </font>
    <font>
      <sz val="10"/>
      <color indexed="53"/>
      <name val="Simplified Arabic Fixed"/>
      <family val="3"/>
    </font>
    <font>
      <b/>
      <sz val="10"/>
      <color indexed="53"/>
      <name val="Simplified Arabic Fixed"/>
      <family val="3"/>
    </font>
    <font>
      <b/>
      <u/>
      <sz val="10"/>
      <color indexed="53"/>
      <name val="Simplified Arabic Fixed"/>
      <family val="3"/>
    </font>
    <font>
      <u/>
      <sz val="10"/>
      <color indexed="53"/>
      <name val="Simplified Arabic Fixed"/>
      <family val="3"/>
    </font>
    <font>
      <sz val="10"/>
      <color indexed="26"/>
      <name val="Simplified Arabic Fixed"/>
      <family val="3"/>
    </font>
    <font>
      <b/>
      <sz val="11"/>
      <color indexed="10"/>
      <name val="Simplified Arabic Fixed"/>
      <family val="3"/>
    </font>
    <font>
      <sz val="12"/>
      <color indexed="9"/>
      <name val="Simplified Arabic Fixed"/>
      <family val="3"/>
    </font>
    <font>
      <b/>
      <sz val="12"/>
      <color indexed="9"/>
      <name val="Simplified Arabic Fixed"/>
      <family val="3"/>
    </font>
    <font>
      <b/>
      <sz val="14"/>
      <color indexed="60"/>
      <name val="Simplified Arabic Fixed"/>
      <family val="3"/>
    </font>
    <font>
      <b/>
      <sz val="9"/>
      <color indexed="63"/>
      <name val="Simplified Arabic Fixed"/>
      <family val="3"/>
    </font>
    <font>
      <sz val="9"/>
      <color indexed="63"/>
      <name val="Simplified Arabic Fixed"/>
      <family val="3"/>
    </font>
    <font>
      <b/>
      <sz val="10"/>
      <color indexed="63"/>
      <name val="Simplified Arabic Fixed"/>
      <family val="3"/>
    </font>
    <font>
      <sz val="10"/>
      <color indexed="63"/>
      <name val="Simplified Arabic Fixed"/>
      <family val="3"/>
    </font>
    <font>
      <sz val="8"/>
      <color indexed="63"/>
      <name val="Simplified Arabic Fixed"/>
      <family val="3"/>
    </font>
    <font>
      <sz val="10"/>
      <color indexed="9"/>
      <name val="Simplified Arabic Fixed"/>
      <family val="3"/>
    </font>
    <font>
      <b/>
      <sz val="9"/>
      <color indexed="9"/>
      <name val="Simplified Arabic Fixed"/>
      <family val="3"/>
    </font>
    <font>
      <b/>
      <sz val="11"/>
      <color indexed="9"/>
      <name val="Simplified Arabic Fixed"/>
      <family val="3"/>
    </font>
    <font>
      <sz val="10"/>
      <color indexed="23"/>
      <name val="Simplified Arabic Fixed"/>
      <family val="3"/>
    </font>
    <font>
      <b/>
      <sz val="9"/>
      <color indexed="55"/>
      <name val="Times New Roman"/>
      <family val="1"/>
    </font>
    <font>
      <b/>
      <sz val="12"/>
      <color indexed="8"/>
      <name val="Times New Roman"/>
      <family val="1"/>
    </font>
    <font>
      <b/>
      <sz val="12"/>
      <color indexed="10"/>
      <name val="Times New Roman"/>
      <family val="1"/>
    </font>
    <font>
      <b/>
      <sz val="10"/>
      <color indexed="18"/>
      <name val="Times New Roman"/>
      <family val="1"/>
    </font>
    <font>
      <b/>
      <sz val="11"/>
      <color indexed="8"/>
      <name val="Simplified Arabic Fixed"/>
      <family val="3"/>
    </font>
    <font>
      <b/>
      <sz val="10"/>
      <color indexed="62"/>
      <name val="Tahoma"/>
      <family val="2"/>
    </font>
    <font>
      <b/>
      <sz val="9"/>
      <color indexed="60"/>
      <name val="Simplified Arabic Fixed"/>
      <family val="3"/>
    </font>
    <font>
      <sz val="11"/>
      <color indexed="53"/>
      <name val="Times New Roman"/>
      <family val="1"/>
    </font>
    <font>
      <sz val="10"/>
      <color indexed="53"/>
      <name val="Times New Roman"/>
      <family val="1"/>
    </font>
    <font>
      <b/>
      <sz val="10"/>
      <color indexed="9"/>
      <name val="Simplified Arabic Fixed"/>
      <family val="3"/>
    </font>
    <font>
      <sz val="10"/>
      <color indexed="23"/>
      <name val="Simplified Arabic Fixed"/>
      <family val="3"/>
    </font>
    <font>
      <sz val="11"/>
      <color indexed="23"/>
      <name val="Simplified Arabic Fixed"/>
      <family val="3"/>
    </font>
    <font>
      <b/>
      <sz val="11"/>
      <color indexed="23"/>
      <name val="Simplified Arabic Fixed"/>
      <family val="3"/>
    </font>
    <font>
      <sz val="10"/>
      <color indexed="23"/>
      <name val="Arial Narrow"/>
      <family val="2"/>
    </font>
    <font>
      <b/>
      <sz val="10"/>
      <color indexed="8"/>
      <name val="Arial Narrow"/>
      <family val="2"/>
    </font>
    <font>
      <b/>
      <sz val="9"/>
      <color indexed="8"/>
      <name val="Arial Narrow"/>
      <family val="2"/>
    </font>
    <font>
      <sz val="8"/>
      <color indexed="51"/>
      <name val="Arial Narrow"/>
      <family val="2"/>
    </font>
    <font>
      <sz val="12"/>
      <color indexed="9"/>
      <name val="Times New Roman"/>
      <family val="1"/>
    </font>
    <font>
      <sz val="12"/>
      <color indexed="23"/>
      <name val="Simplified Arabic Fixed"/>
      <family val="3"/>
    </font>
    <font>
      <sz val="11"/>
      <color indexed="47"/>
      <name val="Simplified Arabic Fixed"/>
      <family val="3"/>
    </font>
    <font>
      <b/>
      <sz val="11"/>
      <color indexed="63"/>
      <name val="Simplified Arabic Fixed"/>
      <family val="3"/>
    </font>
    <font>
      <i/>
      <sz val="11"/>
      <color indexed="23"/>
      <name val="Simplified Arabic Fixed"/>
      <family val="3"/>
    </font>
    <font>
      <sz val="11"/>
      <color indexed="23"/>
      <name val="Simplified Arabic Fixed"/>
      <family val="3"/>
    </font>
    <font>
      <b/>
      <sz val="11"/>
      <color indexed="23"/>
      <name val="Simplified Arabic Fixed"/>
      <family val="3"/>
    </font>
    <font>
      <b/>
      <sz val="9"/>
      <color indexed="53"/>
      <name val="Simplified Arabic Fixed"/>
      <family val="3"/>
    </font>
    <font>
      <b/>
      <sz val="11"/>
      <color indexed="63"/>
      <name val="Simplified Arabic Fixed"/>
      <family val="3"/>
    </font>
    <font>
      <b/>
      <sz val="10"/>
      <color indexed="22"/>
      <name val="Simplified Arabic Fixed"/>
      <family val="3"/>
    </font>
    <font>
      <b/>
      <sz val="8"/>
      <color indexed="22"/>
      <name val="Simplified Arabic Fixed"/>
      <family val="3"/>
    </font>
    <font>
      <sz val="8"/>
      <color indexed="55"/>
      <name val="Simplified Arabic Fixed"/>
      <family val="3"/>
    </font>
    <font>
      <sz val="9"/>
      <color indexed="55"/>
      <name val="Times New Roman"/>
      <family val="1"/>
    </font>
    <font>
      <sz val="9"/>
      <color indexed="9"/>
      <name val="Times New Roman"/>
      <family val="1"/>
    </font>
    <font>
      <b/>
      <sz val="10"/>
      <color indexed="23"/>
      <name val="Arial Narrow"/>
      <family val="2"/>
    </font>
    <font>
      <b/>
      <sz val="11"/>
      <color indexed="10"/>
      <name val="Arial"/>
      <family val="2"/>
    </font>
    <font>
      <sz val="10"/>
      <color indexed="10"/>
      <name val="Times New Roman"/>
      <family val="1"/>
    </font>
    <font>
      <sz val="11"/>
      <color indexed="10"/>
      <name val="Simplified Arabic Fixed"/>
      <family val="3"/>
    </font>
    <font>
      <sz val="8"/>
      <color indexed="23"/>
      <name val="Times New Roman"/>
      <family val="1"/>
    </font>
    <font>
      <sz val="11"/>
      <color indexed="8"/>
      <name val="Simplified Arabic Fixed"/>
      <family val="3"/>
    </font>
    <font>
      <sz val="11"/>
      <color indexed="63"/>
      <name val="Simplified Arabic Fixed"/>
      <family val="3"/>
    </font>
    <font>
      <b/>
      <sz val="11"/>
      <color indexed="22"/>
      <name val="Simplified Arabic Fixed"/>
      <family val="3"/>
    </font>
    <font>
      <sz val="11"/>
      <color indexed="22"/>
      <name val="Simplified Arabic Fixed"/>
      <family val="3"/>
    </font>
    <font>
      <b/>
      <sz val="10"/>
      <color indexed="29"/>
      <name val="Simplified Arabic Fixed"/>
      <family val="3"/>
    </font>
    <font>
      <b/>
      <sz val="11"/>
      <color indexed="29"/>
      <name val="Simplified Arabic Fixed"/>
      <family val="3"/>
    </font>
    <font>
      <b/>
      <sz val="10"/>
      <color indexed="26"/>
      <name val="Simplified Arabic Fixed"/>
      <family val="3"/>
    </font>
    <font>
      <sz val="8"/>
      <color indexed="23"/>
      <name val="Simplified Arabic Fixed"/>
      <family val="3"/>
    </font>
    <font>
      <b/>
      <sz val="9"/>
      <name val="Calibri"/>
      <family val="2"/>
    </font>
    <font>
      <b/>
      <sz val="8"/>
      <name val="Calibri"/>
      <family val="2"/>
    </font>
    <font>
      <sz val="9"/>
      <color indexed="55"/>
      <name val="Simplified Arabic Fixed"/>
      <family val="3"/>
    </font>
    <font>
      <sz val="14"/>
      <color indexed="55"/>
      <name val="Simplified Arabic Fixed"/>
    </font>
    <font>
      <sz val="16"/>
      <name val="Calibri"/>
      <family val="2"/>
    </font>
    <font>
      <sz val="12"/>
      <name val="Calibri"/>
      <family val="2"/>
    </font>
    <font>
      <sz val="20"/>
      <name val="Calibri"/>
      <family val="2"/>
    </font>
    <font>
      <b/>
      <sz val="16"/>
      <name val="Calibri"/>
      <family val="2"/>
    </font>
    <font>
      <b/>
      <sz val="9"/>
      <color indexed="53"/>
      <name val="Tahoma"/>
      <family val="2"/>
    </font>
    <font>
      <sz val="9"/>
      <color indexed="53"/>
      <name val="Tahoma"/>
      <family val="2"/>
    </font>
    <font>
      <sz val="12"/>
      <color indexed="55"/>
      <name val="Times New Roman"/>
      <family val="1"/>
    </font>
    <font>
      <b/>
      <sz val="11"/>
      <color indexed="55"/>
      <name val="Simplified Arabic Fixed"/>
      <family val="3"/>
    </font>
    <font>
      <b/>
      <sz val="12"/>
      <color indexed="55"/>
      <name val="Times New Roman"/>
      <family val="1"/>
    </font>
    <font>
      <b/>
      <sz val="9"/>
      <color indexed="47"/>
      <name val="Simplified Arabic Fixed"/>
      <family val="3"/>
    </font>
    <font>
      <b/>
      <sz val="26"/>
      <name val="Calibri"/>
      <family val="2"/>
    </font>
    <font>
      <sz val="10"/>
      <name val="Calibri"/>
      <family val="2"/>
    </font>
    <font>
      <b/>
      <sz val="26"/>
      <color indexed="9"/>
      <name val="Simplified Arabic Fixed"/>
      <family val="3"/>
    </font>
    <font>
      <sz val="10"/>
      <color indexed="9"/>
      <name val="Times New Roman"/>
      <family val="1"/>
    </font>
    <font>
      <sz val="10"/>
      <color indexed="63"/>
      <name val="Times New Roman"/>
      <family val="1"/>
    </font>
    <font>
      <sz val="10"/>
      <color indexed="10"/>
      <name val="Times New Roman"/>
      <family val="1"/>
    </font>
    <font>
      <b/>
      <sz val="11"/>
      <color indexed="56"/>
      <name val="Simplified Arabic Fixed"/>
      <family val="3"/>
    </font>
    <font>
      <sz val="10"/>
      <color indexed="56"/>
      <name val="Times New Roman"/>
      <family val="1"/>
    </font>
    <font>
      <b/>
      <sz val="11"/>
      <color indexed="56"/>
      <name val="Arial"/>
      <family val="2"/>
    </font>
    <font>
      <b/>
      <sz val="11"/>
      <color indexed="53"/>
      <name val="Simplified Arabic Fixed"/>
      <family val="3"/>
    </font>
    <font>
      <b/>
      <sz val="10"/>
      <name val="Calibri"/>
      <family val="2"/>
    </font>
    <font>
      <b/>
      <sz val="11"/>
      <name val="Calibri"/>
      <family val="2"/>
    </font>
    <font>
      <b/>
      <sz val="9"/>
      <color indexed="9"/>
      <name val="Calibri"/>
      <family val="2"/>
    </font>
    <font>
      <b/>
      <sz val="9"/>
      <color indexed="63"/>
      <name val="Arial Narrow"/>
      <family val="2"/>
    </font>
    <font>
      <b/>
      <sz val="9"/>
      <color indexed="23"/>
      <name val="Arial Narrow"/>
      <family val="2"/>
    </font>
    <font>
      <sz val="9"/>
      <color indexed="23"/>
      <name val="Arial Narrow"/>
      <family val="2"/>
    </font>
    <font>
      <sz val="10"/>
      <color indexed="51"/>
      <name val="Arial Narrow"/>
      <family val="2"/>
    </font>
    <font>
      <b/>
      <sz val="12"/>
      <color indexed="63"/>
      <name val="Simplified Arabic Fixed"/>
      <family val="3"/>
    </font>
    <font>
      <b/>
      <sz val="16"/>
      <color indexed="23"/>
      <name val="Calibri"/>
      <family val="2"/>
    </font>
    <font>
      <b/>
      <sz val="14"/>
      <color theme="0"/>
      <name val="Calibri"/>
      <family val="2"/>
    </font>
    <font>
      <sz val="10"/>
      <color theme="0"/>
      <name val="Calibri"/>
      <family val="2"/>
    </font>
    <font>
      <sz val="14"/>
      <color theme="0"/>
      <name val="Calibri"/>
      <family val="2"/>
    </font>
    <font>
      <b/>
      <sz val="16"/>
      <color theme="0"/>
      <name val="Calibri"/>
      <family val="2"/>
    </font>
    <font>
      <b/>
      <sz val="26"/>
      <color theme="0"/>
      <name val="Calibri"/>
      <family val="2"/>
    </font>
    <font>
      <b/>
      <sz val="22"/>
      <color theme="0"/>
      <name val="Calibri"/>
      <family val="2"/>
    </font>
    <font>
      <b/>
      <sz val="10"/>
      <color indexed="8"/>
      <name val="Calibri"/>
      <family val="2"/>
      <scheme val="minor"/>
    </font>
    <font>
      <b/>
      <sz val="10"/>
      <name val="Calibri"/>
      <family val="2"/>
      <scheme val="minor"/>
    </font>
    <font>
      <b/>
      <sz val="10"/>
      <color theme="0" tint="-0.14999847407452621"/>
      <name val="Simplified Arabic Fixed"/>
      <family val="3"/>
    </font>
    <font>
      <b/>
      <sz val="11"/>
      <color theme="1" tint="0.34998626667073579"/>
      <name val="Simplified Arabic Fixed"/>
    </font>
    <font>
      <b/>
      <sz val="14"/>
      <color theme="1" tint="0.34998626667073579"/>
      <name val="Simplified Arabic Fixed"/>
    </font>
    <font>
      <sz val="11"/>
      <color theme="1" tint="0.34998626667073579"/>
      <name val="Simplified Arabic Fixed"/>
    </font>
    <font>
      <sz val="10"/>
      <color theme="1" tint="0.34998626667073579"/>
      <name val="Simplified Arabic Fixed"/>
    </font>
    <font>
      <sz val="12"/>
      <color theme="1" tint="0.34998626667073579"/>
      <name val="Times New Roman"/>
      <family val="1"/>
    </font>
    <font>
      <b/>
      <sz val="11"/>
      <color theme="1" tint="0.34998626667073579"/>
      <name val="Simplified Arabic Fixed"/>
      <family val="3"/>
    </font>
    <font>
      <sz val="14"/>
      <color theme="1" tint="0.34998626667073579"/>
      <name val="Simplified Arabic Fixed"/>
    </font>
    <font>
      <sz val="10"/>
      <color theme="1" tint="0.34998626667073579"/>
      <name val="Simplified Arabic Fixed"/>
      <family val="3"/>
    </font>
    <font>
      <b/>
      <sz val="10"/>
      <color theme="1" tint="0.34998626667073579"/>
      <name val="Calibri"/>
      <family val="2"/>
    </font>
    <font>
      <b/>
      <sz val="10"/>
      <color theme="1" tint="0.34998626667073579"/>
      <name val="Calibri"/>
      <family val="2"/>
      <scheme val="minor"/>
    </font>
    <font>
      <b/>
      <sz val="11"/>
      <color theme="1" tint="0.34998626667073579"/>
      <name val="Arial"/>
      <family val="2"/>
    </font>
    <font>
      <b/>
      <sz val="10"/>
      <color theme="1" tint="0.34998626667073579"/>
      <name val="Simplified Arabic Fixed"/>
      <family val="3"/>
    </font>
    <font>
      <sz val="10"/>
      <color theme="1" tint="0.34998626667073579"/>
      <name val="Times New Roman"/>
      <family val="1"/>
    </font>
    <font>
      <b/>
      <sz val="12"/>
      <color theme="1" tint="0.34998626667073579"/>
      <name val="Simplified Arabic Fixed"/>
    </font>
    <font>
      <sz val="16"/>
      <name val="Calibri"/>
      <family val="2"/>
      <scheme val="minor"/>
    </font>
    <font>
      <sz val="11"/>
      <color indexed="81"/>
      <name val="Calibri"/>
      <family val="2"/>
      <scheme val="minor"/>
    </font>
    <font>
      <b/>
      <sz val="10"/>
      <color theme="1" tint="0.499984740745262"/>
      <name val="Simplified Arabic Fixed"/>
      <family val="3"/>
    </font>
    <font>
      <b/>
      <sz val="9"/>
      <color theme="1" tint="0.499984740745262"/>
      <name val="Simplified Arabic Fixed"/>
    </font>
    <font>
      <b/>
      <sz val="11"/>
      <color theme="1"/>
      <name val="Simplified Arabic Fixed"/>
      <family val="3"/>
    </font>
    <font>
      <sz val="11"/>
      <color theme="1"/>
      <name val="Times New Roman"/>
      <family val="1"/>
    </font>
    <font>
      <b/>
      <sz val="12"/>
      <name val="Calibri"/>
      <family val="2"/>
      <scheme val="minor"/>
    </font>
    <font>
      <sz val="10"/>
      <name val="Simplified Arabic Fixed"/>
    </font>
    <font>
      <sz val="12"/>
      <color indexed="23"/>
      <name val="Calibri"/>
      <family val="2"/>
    </font>
    <font>
      <b/>
      <sz val="11"/>
      <color theme="0" tint="-0.34998626667073579"/>
      <name val="Simplified Arabic Fixed"/>
      <family val="3"/>
    </font>
    <font>
      <sz val="10"/>
      <color theme="0" tint="-0.34998626667073579"/>
      <name val="Times New Roman"/>
      <family val="1"/>
    </font>
    <font>
      <b/>
      <sz val="10"/>
      <color theme="0" tint="-0.34998626667073579"/>
      <name val="Simplified Arabic Fixed"/>
      <family val="3"/>
    </font>
    <font>
      <sz val="11"/>
      <color theme="0" tint="-0.34998626667073579"/>
      <name val="Simplified Arabic Fixed"/>
      <family val="3"/>
    </font>
    <font>
      <b/>
      <sz val="16"/>
      <name val="Calibri"/>
      <family val="2"/>
      <scheme val="minor"/>
    </font>
    <font>
      <b/>
      <i/>
      <sz val="28"/>
      <color theme="0" tint="-0.499984740745262"/>
      <name val="Calibri"/>
      <family val="2"/>
    </font>
    <font>
      <sz val="28"/>
      <color theme="0" tint="-0.499984740745262"/>
      <name val="Calibri"/>
      <family val="2"/>
    </font>
    <font>
      <b/>
      <sz val="28"/>
      <color theme="0" tint="-0.499984740745262"/>
      <name val="Calibri"/>
      <family val="2"/>
    </font>
    <font>
      <sz val="11"/>
      <name val="Tahoma"/>
      <family val="2"/>
    </font>
    <font>
      <b/>
      <sz val="11"/>
      <name val="Tahoma"/>
      <family val="2"/>
    </font>
    <font>
      <b/>
      <sz val="11"/>
      <color theme="1" tint="0.499984740745262"/>
      <name val="Tahoma"/>
      <family val="2"/>
    </font>
    <font>
      <sz val="11"/>
      <color theme="1" tint="0.499984740745262"/>
      <name val="Tahoma"/>
      <family val="2"/>
    </font>
    <font>
      <b/>
      <sz val="12"/>
      <name val="Simplified Arabic Fixed"/>
    </font>
    <font>
      <b/>
      <sz val="11"/>
      <color indexed="63"/>
      <name val="Simplified Arabic Fixed"/>
    </font>
    <font>
      <b/>
      <sz val="11"/>
      <color rgb="FFFF0000"/>
      <name val="Simplified Arabic Fixed"/>
    </font>
    <font>
      <b/>
      <sz val="11"/>
      <color theme="4" tint="-0.499984740745262"/>
      <name val="Simplified Arabic Fixed"/>
    </font>
    <font>
      <b/>
      <sz val="11"/>
      <color theme="4" tint="-0.499984740745262"/>
      <name val="Simplified Arabic Fixed"/>
      <family val="3"/>
    </font>
    <font>
      <sz val="10"/>
      <color theme="4" tint="-0.499984740745262"/>
      <name val="Times New Roman"/>
      <family val="1"/>
    </font>
    <font>
      <sz val="10"/>
      <color theme="0"/>
      <name val="Times New Roman"/>
      <family val="1"/>
    </font>
    <font>
      <sz val="11"/>
      <color theme="0"/>
      <name val="Simplified Arabic Fixed"/>
    </font>
    <font>
      <b/>
      <sz val="11"/>
      <color theme="0"/>
      <name val="Simplified Arabic Fixed"/>
      <family val="3"/>
    </font>
    <font>
      <sz val="11"/>
      <color indexed="81"/>
      <name val="Arial"/>
      <family val="2"/>
    </font>
    <font>
      <sz val="9"/>
      <color theme="0" tint="-0.34998626667073579"/>
      <name val="Simplified Arabic Fixed"/>
      <family val="3"/>
    </font>
    <font>
      <b/>
      <sz val="9"/>
      <color theme="0" tint="-0.34998626667073579"/>
      <name val="Simplified Arabic Fixed"/>
      <family val="3"/>
    </font>
    <font>
      <b/>
      <sz val="9"/>
      <color theme="0" tint="-0.34998626667073579"/>
      <name val="Simplified Arabic Fixed"/>
    </font>
    <font>
      <b/>
      <sz val="14"/>
      <color theme="1" tint="0.499984740745262"/>
      <name val="Arial"/>
      <family val="2"/>
    </font>
    <font>
      <b/>
      <sz val="9"/>
      <name val="Arial"/>
      <family val="2"/>
    </font>
    <font>
      <sz val="9"/>
      <name val="Arial"/>
      <family val="2"/>
    </font>
    <font>
      <sz val="9"/>
      <color rgb="FF92D050"/>
      <name val="Arial"/>
      <family val="2"/>
    </font>
    <font>
      <sz val="9"/>
      <color rgb="FFFFC000"/>
      <name val="Arial"/>
      <family val="2"/>
    </font>
    <font>
      <b/>
      <sz val="11"/>
      <color theme="0"/>
      <name val="Arial"/>
      <family val="2"/>
    </font>
    <font>
      <sz val="10"/>
      <color indexed="81"/>
      <name val="Arial"/>
      <family val="2"/>
    </font>
    <font>
      <b/>
      <sz val="11"/>
      <color theme="1" tint="0.499984740745262"/>
      <name val="Simplified Arabic Fixed"/>
      <family val="3"/>
    </font>
    <font>
      <b/>
      <sz val="11"/>
      <color indexed="81"/>
      <name val="Tahoma"/>
      <family val="2"/>
    </font>
    <font>
      <b/>
      <sz val="11"/>
      <color theme="0" tint="-0.499984740745262"/>
      <name val="Simplified Arabic Fixed"/>
      <family val="3"/>
    </font>
    <font>
      <b/>
      <sz val="10"/>
      <color theme="0" tint="-0.499984740745262"/>
      <name val="Simplified Arabic Fixed"/>
      <family val="3"/>
    </font>
    <font>
      <b/>
      <sz val="24"/>
      <color theme="0"/>
      <name val="Calibri"/>
      <family val="2"/>
    </font>
    <font>
      <b/>
      <sz val="14"/>
      <name val="Calibri"/>
      <family val="2"/>
    </font>
    <font>
      <sz val="11"/>
      <name val="Calibri"/>
      <family val="2"/>
    </font>
    <font>
      <sz val="14"/>
      <name val="Times New Roman"/>
      <family val="1"/>
    </font>
    <font>
      <b/>
      <sz val="14"/>
      <name val="Calibri"/>
      <family val="2"/>
      <scheme val="minor"/>
    </font>
    <font>
      <sz val="14"/>
      <name val="Calibri"/>
      <family val="2"/>
      <scheme val="minor"/>
    </font>
    <font>
      <b/>
      <sz val="11"/>
      <color indexed="9"/>
      <name val="Calibri"/>
      <family val="2"/>
    </font>
    <font>
      <b/>
      <sz val="11"/>
      <color theme="1" tint="0.499984740745262"/>
      <name val="Calibri"/>
      <family val="2"/>
    </font>
    <font>
      <b/>
      <sz val="10"/>
      <color theme="1" tint="0.499984740745262"/>
      <name val="Times New Roman"/>
      <family val="1"/>
    </font>
    <font>
      <b/>
      <sz val="11"/>
      <color theme="1" tint="0.499984740745262"/>
      <name val="Calibri"/>
      <family val="2"/>
      <scheme val="minor"/>
    </font>
    <font>
      <b/>
      <sz val="11"/>
      <color theme="1" tint="0.499984740745262"/>
      <name val="Times New Roman"/>
      <family val="1"/>
    </font>
    <font>
      <b/>
      <sz val="10"/>
      <color theme="1"/>
      <name val="Arial Narrow"/>
      <family val="2"/>
    </font>
    <font>
      <sz val="10"/>
      <color theme="1"/>
      <name val="Arial Narrow"/>
      <family val="2"/>
    </font>
    <font>
      <b/>
      <sz val="9"/>
      <color theme="1"/>
      <name val="Arial Narrow"/>
      <family val="2"/>
    </font>
    <font>
      <b/>
      <i/>
      <sz val="18"/>
      <color theme="0" tint="-0.499984740745262"/>
      <name val="Calibri"/>
      <family val="2"/>
    </font>
    <font>
      <sz val="18"/>
      <name val="Times New Roman"/>
      <family val="1"/>
    </font>
    <font>
      <sz val="20"/>
      <name val="Times New Roman"/>
      <family val="1"/>
    </font>
    <font>
      <sz val="10"/>
      <color theme="1" tint="0.499984740745262"/>
      <name val="Arial Narrow"/>
      <family val="2"/>
    </font>
    <font>
      <b/>
      <sz val="10"/>
      <color theme="1" tint="0.34998626667073579"/>
      <name val="Arial Narrow"/>
      <family val="2"/>
    </font>
    <font>
      <b/>
      <sz val="10"/>
      <color theme="1" tint="0.34998626667073579"/>
      <name val="Times New Roman"/>
      <family val="1"/>
    </font>
    <font>
      <b/>
      <sz val="10"/>
      <color theme="1" tint="0.499984740745262"/>
      <name val="Arial Narrow"/>
      <family val="2"/>
    </font>
    <font>
      <sz val="8"/>
      <color theme="0" tint="-0.34998626667073579"/>
      <name val="Simplified Arabic"/>
      <family val="1"/>
    </font>
    <font>
      <sz val="8"/>
      <name val="Arial"/>
      <family val="2"/>
    </font>
    <font>
      <b/>
      <sz val="12"/>
      <color theme="1" tint="0.249977111117893"/>
      <name val="Calibri"/>
      <family val="2"/>
      <scheme val="minor"/>
    </font>
    <font>
      <b/>
      <sz val="10"/>
      <color theme="0" tint="-0.249977111117893"/>
      <name val="Segoe UI Semibold"/>
      <family val="2"/>
    </font>
    <font>
      <sz val="10"/>
      <color theme="0" tint="-0.249977111117893"/>
      <name val="Segoe UI Semilight"/>
      <family val="2"/>
    </font>
    <font>
      <sz val="10"/>
      <color theme="0" tint="-0.249977111117893"/>
      <name val="Segoe UI Symbol"/>
      <family val="2"/>
    </font>
    <font>
      <b/>
      <sz val="11"/>
      <color rgb="FFFF0000"/>
      <name val="Simplified Arabic Fixed"/>
      <family val="3"/>
    </font>
    <font>
      <sz val="10"/>
      <color rgb="FFFF0000"/>
      <name val="Times New Roman"/>
      <family val="1"/>
    </font>
    <font>
      <sz val="10"/>
      <color indexed="81"/>
      <name val="Calibri"/>
      <family val="2"/>
    </font>
    <font>
      <sz val="11"/>
      <color indexed="81"/>
      <name val="Calibri"/>
      <family val="2"/>
    </font>
    <font>
      <sz val="10"/>
      <color indexed="55"/>
      <name val="Times New Roman"/>
      <family val="1"/>
    </font>
    <font>
      <b/>
      <sz val="9"/>
      <color theme="0"/>
      <name val="Times New Roman"/>
      <family val="1"/>
    </font>
    <font>
      <sz val="12"/>
      <color theme="1" tint="0.499984740745262"/>
      <name val="Simplified Arabic Fixed"/>
      <family val="3"/>
    </font>
    <font>
      <b/>
      <sz val="11"/>
      <color theme="1" tint="4.9989318521683403E-2"/>
      <name val="Simplified Arabic Fixed"/>
      <family val="3"/>
    </font>
    <font>
      <sz val="12"/>
      <color theme="0"/>
      <name val="Times New Roman"/>
      <family val="1"/>
    </font>
  </fonts>
  <fills count="3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D0FF4B"/>
        <bgColor indexed="64"/>
      </patternFill>
    </fill>
    <fill>
      <patternFill patternType="solid">
        <fgColor rgb="FFFFFF72"/>
        <bgColor indexed="64"/>
      </patternFill>
    </fill>
    <fill>
      <patternFill patternType="solid">
        <fgColor theme="6" tint="0.59999389629810485"/>
        <bgColor indexed="64"/>
      </patternFill>
    </fill>
    <fill>
      <patternFill patternType="solid">
        <fgColor rgb="FFB4DE86"/>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E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A3"/>
        <bgColor indexed="64"/>
      </patternFill>
    </fill>
    <fill>
      <patternFill patternType="solid">
        <fgColor rgb="FFCEEAB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622">
    <border>
      <left/>
      <right/>
      <top/>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diagonal/>
    </border>
    <border>
      <left style="medium">
        <color indexed="64"/>
      </left>
      <right/>
      <top/>
      <bottom style="medium">
        <color indexed="64"/>
      </bottom>
      <diagonal/>
    </border>
    <border>
      <left/>
      <right/>
      <top/>
      <bottom style="double">
        <color indexed="64"/>
      </bottom>
      <diagonal/>
    </border>
    <border>
      <left/>
      <right/>
      <top/>
      <bottom style="thin">
        <color indexed="64"/>
      </bottom>
      <diagonal/>
    </border>
    <border>
      <left style="double">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diagonal/>
    </border>
    <border>
      <left style="medium">
        <color indexed="64"/>
      </left>
      <right style="double">
        <color indexed="64"/>
      </right>
      <top style="double">
        <color indexed="64"/>
      </top>
      <bottom/>
      <diagonal/>
    </border>
    <border>
      <left style="double">
        <color indexed="64"/>
      </left>
      <right/>
      <top style="double">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dashDot">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64"/>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double">
        <color indexed="64"/>
      </right>
      <top style="double">
        <color indexed="64"/>
      </top>
      <bottom style="double">
        <color indexed="64"/>
      </bottom>
      <diagonal/>
    </border>
    <border>
      <left/>
      <right style="thick">
        <color indexed="64"/>
      </right>
      <top/>
      <bottom/>
      <diagonal/>
    </border>
    <border>
      <left style="thick">
        <color indexed="64"/>
      </left>
      <right/>
      <top style="thick">
        <color indexed="64"/>
      </top>
      <bottom/>
      <diagonal/>
    </border>
    <border>
      <left style="thick">
        <color indexed="64"/>
      </left>
      <right style="double">
        <color indexed="64"/>
      </right>
      <top style="double">
        <color indexed="64"/>
      </top>
      <bottom style="thick">
        <color indexed="64"/>
      </bottom>
      <diagonal/>
    </border>
    <border>
      <left style="double">
        <color indexed="64"/>
      </left>
      <right style="thick">
        <color indexed="64"/>
      </right>
      <top style="double">
        <color indexed="64"/>
      </top>
      <bottom style="thick">
        <color indexed="64"/>
      </bottom>
      <diagonal/>
    </border>
    <border>
      <left style="thick">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style="double">
        <color indexed="64"/>
      </top>
      <bottom style="thick">
        <color indexed="64"/>
      </bottom>
      <diagonal/>
    </border>
    <border>
      <left style="thick">
        <color indexed="64"/>
      </left>
      <right style="thick">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style="double">
        <color indexed="64"/>
      </bottom>
      <diagonal/>
    </border>
    <border>
      <left/>
      <right style="double">
        <color indexed="64"/>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double">
        <color indexed="64"/>
      </left>
      <right/>
      <top/>
      <bottom style="medium">
        <color indexed="64"/>
      </bottom>
      <diagonal/>
    </border>
    <border>
      <left style="hair">
        <color indexed="64"/>
      </left>
      <right style="hair">
        <color indexed="64"/>
      </right>
      <top/>
      <bottom style="medium">
        <color indexed="64"/>
      </bottom>
      <diagonal/>
    </border>
    <border>
      <left/>
      <right style="double">
        <color indexed="64"/>
      </right>
      <top/>
      <bottom style="medium">
        <color indexed="64"/>
      </bottom>
      <diagonal/>
    </border>
    <border>
      <left style="hair">
        <color indexed="64"/>
      </left>
      <right style="hair">
        <color indexed="64"/>
      </right>
      <top/>
      <bottom style="double">
        <color indexed="64"/>
      </bottom>
      <diagonal/>
    </border>
    <border>
      <left style="hair">
        <color indexed="64"/>
      </left>
      <right style="hair">
        <color indexed="64"/>
      </right>
      <top style="medium">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bottom/>
      <diagonal/>
    </border>
    <border>
      <left style="double">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double">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double">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double">
        <color indexed="64"/>
      </left>
      <right style="thin">
        <color indexed="64"/>
      </right>
      <top style="medium">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diagonal/>
    </border>
    <border>
      <left/>
      <right style="medium">
        <color indexed="53"/>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indexed="53"/>
      </left>
      <right/>
      <top/>
      <bottom style="medium">
        <color indexed="53"/>
      </bottom>
      <diagonal/>
    </border>
    <border>
      <left/>
      <right/>
      <top/>
      <bottom style="medium">
        <color indexed="53"/>
      </bottom>
      <diagonal/>
    </border>
    <border>
      <left style="thin">
        <color indexed="23"/>
      </left>
      <right/>
      <top style="thin">
        <color indexed="23"/>
      </top>
      <bottom style="medium">
        <color indexed="53"/>
      </bottom>
      <diagonal/>
    </border>
    <border>
      <left/>
      <right/>
      <top style="thin">
        <color indexed="23"/>
      </top>
      <bottom style="medium">
        <color indexed="53"/>
      </bottom>
      <diagonal/>
    </border>
    <border>
      <left/>
      <right style="thin">
        <color indexed="23"/>
      </right>
      <top style="thin">
        <color indexed="23"/>
      </top>
      <bottom style="medium">
        <color indexed="53"/>
      </bottom>
      <diagonal/>
    </border>
    <border>
      <left/>
      <right style="medium">
        <color indexed="53"/>
      </right>
      <top/>
      <bottom style="medium">
        <color indexed="53"/>
      </bottom>
      <diagonal/>
    </border>
    <border>
      <left style="medium">
        <color indexed="64"/>
      </left>
      <right/>
      <top/>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double">
        <color indexed="64"/>
      </bottom>
      <diagonal/>
    </border>
    <border>
      <left style="double">
        <color indexed="64"/>
      </left>
      <right style="double">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double">
        <color indexed="64"/>
      </right>
      <top style="thin">
        <color indexed="64"/>
      </top>
      <bottom/>
      <diagonal/>
    </border>
    <border>
      <left style="medium">
        <color indexed="64"/>
      </left>
      <right style="medium">
        <color indexed="64"/>
      </right>
      <top style="double">
        <color indexed="64"/>
      </top>
      <bottom style="double">
        <color indexed="64"/>
      </bottom>
      <diagonal/>
    </border>
    <border>
      <left style="double">
        <color indexed="55"/>
      </left>
      <right style="double">
        <color indexed="55"/>
      </right>
      <top style="double">
        <color indexed="55"/>
      </top>
      <bottom style="thick">
        <color indexed="55"/>
      </bottom>
      <diagonal/>
    </border>
    <border>
      <left style="double">
        <color indexed="55"/>
      </left>
      <right style="thin">
        <color indexed="55"/>
      </right>
      <top/>
      <bottom/>
      <diagonal/>
    </border>
    <border>
      <left style="thin">
        <color indexed="55"/>
      </left>
      <right style="thin">
        <color indexed="55"/>
      </right>
      <top/>
      <bottom/>
      <diagonal/>
    </border>
    <border>
      <left style="thin">
        <color indexed="55"/>
      </left>
      <right style="double">
        <color indexed="55"/>
      </right>
      <top/>
      <bottom/>
      <diagonal/>
    </border>
    <border>
      <left style="double">
        <color indexed="55"/>
      </left>
      <right style="double">
        <color indexed="55"/>
      </right>
      <top style="thick">
        <color indexed="55"/>
      </top>
      <bottom/>
      <diagonal/>
    </border>
    <border>
      <left style="double">
        <color indexed="55"/>
      </left>
      <right style="thin">
        <color indexed="55"/>
      </right>
      <top style="thick">
        <color indexed="55"/>
      </top>
      <bottom/>
      <diagonal/>
    </border>
    <border>
      <left style="thin">
        <color indexed="55"/>
      </left>
      <right style="thin">
        <color indexed="55"/>
      </right>
      <top style="thick">
        <color indexed="55"/>
      </top>
      <bottom/>
      <diagonal/>
    </border>
    <border>
      <left style="thin">
        <color indexed="55"/>
      </left>
      <right style="double">
        <color indexed="55"/>
      </right>
      <top style="thick">
        <color indexed="55"/>
      </top>
      <bottom/>
      <diagonal/>
    </border>
    <border>
      <left style="double">
        <color indexed="55"/>
      </left>
      <right style="double">
        <color indexed="55"/>
      </right>
      <top style="medium">
        <color indexed="55"/>
      </top>
      <bottom style="double">
        <color indexed="55"/>
      </bottom>
      <diagonal/>
    </border>
    <border>
      <left style="double">
        <color indexed="55"/>
      </left>
      <right style="thin">
        <color indexed="55"/>
      </right>
      <top style="thin">
        <color indexed="55"/>
      </top>
      <bottom style="double">
        <color indexed="55"/>
      </bottom>
      <diagonal/>
    </border>
    <border>
      <left style="thin">
        <color indexed="55"/>
      </left>
      <right style="thin">
        <color indexed="55"/>
      </right>
      <top style="thin">
        <color indexed="55"/>
      </top>
      <bottom style="double">
        <color indexed="55"/>
      </bottom>
      <diagonal/>
    </border>
    <border>
      <left style="thin">
        <color indexed="55"/>
      </left>
      <right style="double">
        <color indexed="55"/>
      </right>
      <top style="thin">
        <color indexed="55"/>
      </top>
      <bottom style="double">
        <color indexed="55"/>
      </bottom>
      <diagonal/>
    </border>
    <border>
      <left style="double">
        <color indexed="55"/>
      </left>
      <right style="double">
        <color indexed="55"/>
      </right>
      <top/>
      <bottom style="double">
        <color indexed="55"/>
      </bottom>
      <diagonal/>
    </border>
    <border>
      <left style="double">
        <color indexed="55"/>
      </left>
      <right style="thin">
        <color indexed="55"/>
      </right>
      <top/>
      <bottom style="double">
        <color indexed="55"/>
      </bottom>
      <diagonal/>
    </border>
    <border>
      <left style="thin">
        <color indexed="55"/>
      </left>
      <right style="thin">
        <color indexed="55"/>
      </right>
      <top/>
      <bottom style="double">
        <color indexed="55"/>
      </bottom>
      <diagonal/>
    </border>
    <border>
      <left style="thin">
        <color indexed="55"/>
      </left>
      <right style="double">
        <color indexed="55"/>
      </right>
      <top/>
      <bottom style="double">
        <color indexed="55"/>
      </bottom>
      <diagonal/>
    </border>
    <border>
      <left style="medium">
        <color indexed="64"/>
      </left>
      <right style="medium">
        <color indexed="64"/>
      </right>
      <top/>
      <bottom style="medium">
        <color indexed="64"/>
      </bottom>
      <diagonal/>
    </border>
    <border>
      <left style="double">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medium">
        <color indexed="64"/>
      </right>
      <top style="dashed">
        <color indexed="64"/>
      </top>
      <bottom style="medium">
        <color indexed="64"/>
      </bottom>
      <diagonal/>
    </border>
    <border>
      <left style="double">
        <color indexed="64"/>
      </left>
      <right style="medium">
        <color indexed="64"/>
      </right>
      <top style="dotted">
        <color indexed="64"/>
      </top>
      <bottom style="medium">
        <color indexed="64"/>
      </bottom>
      <diagonal/>
    </border>
    <border>
      <left/>
      <right style="thin">
        <color indexed="64"/>
      </right>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style="medium">
        <color indexed="64"/>
      </top>
      <bottom style="hair">
        <color indexed="64"/>
      </bottom>
      <diagonal/>
    </border>
    <border>
      <left style="double">
        <color indexed="64"/>
      </left>
      <right style="double">
        <color indexed="64"/>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hair">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double">
        <color indexed="64"/>
      </left>
      <right style="hair">
        <color indexed="64"/>
      </right>
      <top/>
      <bottom/>
      <diagonal/>
    </border>
    <border>
      <left style="double">
        <color indexed="64"/>
      </left>
      <right style="double">
        <color indexed="64"/>
      </right>
      <top style="thin">
        <color indexed="55"/>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style="medium">
        <color indexed="64"/>
      </right>
      <top style="double">
        <color indexed="64"/>
      </top>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style="medium">
        <color indexed="64"/>
      </left>
      <right style="medium">
        <color indexed="64"/>
      </right>
      <top style="dashDot">
        <color indexed="64"/>
      </top>
      <bottom style="medium">
        <color indexed="64"/>
      </bottom>
      <diagonal/>
    </border>
    <border>
      <left/>
      <right/>
      <top/>
      <bottom style="hair">
        <color indexed="51"/>
      </bottom>
      <diagonal/>
    </border>
    <border>
      <left style="hair">
        <color indexed="51"/>
      </left>
      <right/>
      <top/>
      <bottom style="hair">
        <color indexed="51"/>
      </bottom>
      <diagonal/>
    </border>
    <border>
      <left/>
      <right style="hair">
        <color indexed="51"/>
      </right>
      <top/>
      <bottom style="hair">
        <color indexed="51"/>
      </bottom>
      <diagonal/>
    </border>
    <border>
      <left/>
      <right style="medium">
        <color indexed="64"/>
      </right>
      <top/>
      <bottom style="medium">
        <color indexed="64"/>
      </bottom>
      <diagonal/>
    </border>
    <border>
      <left/>
      <right style="double">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hair">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dashDot">
        <color indexed="64"/>
      </right>
      <top style="double">
        <color indexed="64"/>
      </top>
      <bottom style="double">
        <color indexed="64"/>
      </bottom>
      <diagonal/>
    </border>
    <border>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22"/>
      </left>
      <right style="medium">
        <color indexed="22"/>
      </right>
      <top style="medium">
        <color indexed="22"/>
      </top>
      <bottom style="medium">
        <color indexed="22"/>
      </bottom>
      <diagonal/>
    </border>
    <border>
      <left style="medium">
        <color indexed="55"/>
      </left>
      <right style="medium">
        <color indexed="55"/>
      </right>
      <top style="medium">
        <color indexed="55"/>
      </top>
      <bottom/>
      <diagonal/>
    </border>
    <border>
      <left style="medium">
        <color indexed="55"/>
      </left>
      <right style="medium">
        <color indexed="55"/>
      </right>
      <top style="medium">
        <color indexed="55"/>
      </top>
      <bottom style="medium">
        <color indexed="55"/>
      </bottom>
      <diagonal/>
    </border>
    <border>
      <left/>
      <right style="double">
        <color indexed="64"/>
      </right>
      <top style="mediumDashDot">
        <color indexed="64"/>
      </top>
      <bottom style="double">
        <color indexed="64"/>
      </bottom>
      <diagonal/>
    </border>
    <border>
      <left style="medium">
        <color indexed="64"/>
      </left>
      <right style="double">
        <color indexed="64"/>
      </right>
      <top style="medium">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0"/>
      </left>
      <right style="thin">
        <color indexed="64"/>
      </right>
      <top style="double">
        <color indexed="60"/>
      </top>
      <bottom style="double">
        <color indexed="60"/>
      </bottom>
      <diagonal/>
    </border>
    <border>
      <left style="thin">
        <color indexed="64"/>
      </left>
      <right style="double">
        <color indexed="60"/>
      </right>
      <top style="double">
        <color indexed="60"/>
      </top>
      <bottom style="double">
        <color indexed="60"/>
      </bottom>
      <diagonal/>
    </border>
    <border>
      <left/>
      <right style="hair">
        <color indexed="64"/>
      </right>
      <top/>
      <bottom/>
      <diagonal/>
    </border>
    <border>
      <left style="hair">
        <color indexed="51"/>
      </left>
      <right style="hair">
        <color indexed="64"/>
      </right>
      <top style="dashDot">
        <color indexed="64"/>
      </top>
      <bottom/>
      <diagonal/>
    </border>
    <border>
      <left style="hair">
        <color indexed="51"/>
      </left>
      <right/>
      <top style="dashDot">
        <color indexed="64"/>
      </top>
      <bottom/>
      <diagonal/>
    </border>
    <border>
      <left style="hair">
        <color indexed="51"/>
      </left>
      <right style="hair">
        <color indexed="64"/>
      </right>
      <top/>
      <bottom/>
      <diagonal/>
    </border>
    <border>
      <left style="hair">
        <color indexed="51"/>
      </left>
      <right/>
      <top/>
      <bottom/>
      <diagonal/>
    </border>
    <border>
      <left/>
      <right style="hair">
        <color indexed="51"/>
      </right>
      <top/>
      <bottom/>
      <diagonal/>
    </border>
    <border>
      <left/>
      <right style="hair">
        <color indexed="51"/>
      </right>
      <top style="hair">
        <color indexed="51"/>
      </top>
      <bottom/>
      <diagonal/>
    </border>
    <border>
      <left/>
      <right/>
      <top style="hair">
        <color indexed="51"/>
      </top>
      <bottom style="hair">
        <color indexed="51"/>
      </bottom>
      <diagonal/>
    </border>
    <border>
      <left/>
      <right style="hair">
        <color indexed="51"/>
      </right>
      <top style="hair">
        <color indexed="51"/>
      </top>
      <bottom style="hair">
        <color indexed="51"/>
      </bottom>
      <diagonal/>
    </border>
    <border>
      <left style="hair">
        <color indexed="51"/>
      </left>
      <right/>
      <top style="hair">
        <color indexed="51"/>
      </top>
      <bottom style="hair">
        <color indexed="51"/>
      </bottom>
      <diagonal/>
    </border>
    <border>
      <left style="hair">
        <color indexed="51"/>
      </left>
      <right/>
      <top style="hair">
        <color indexed="51"/>
      </top>
      <bottom/>
      <diagonal/>
    </border>
    <border>
      <left/>
      <right/>
      <top style="hair">
        <color indexed="51"/>
      </top>
      <bottom/>
      <diagonal/>
    </border>
    <border>
      <left style="medium">
        <color indexed="23"/>
      </left>
      <right style="thin">
        <color indexed="64"/>
      </right>
      <top/>
      <bottom/>
      <diagonal/>
    </border>
    <border>
      <left style="thin">
        <color indexed="64"/>
      </left>
      <right style="medium">
        <color indexed="23"/>
      </right>
      <top/>
      <bottom/>
      <diagonal/>
    </border>
    <border>
      <left style="medium">
        <color indexed="23"/>
      </left>
      <right style="thin">
        <color indexed="64"/>
      </right>
      <top style="thin">
        <color indexed="64"/>
      </top>
      <bottom style="thin">
        <color indexed="64"/>
      </bottom>
      <diagonal/>
    </border>
    <border>
      <left style="thin">
        <color indexed="64"/>
      </left>
      <right style="medium">
        <color indexed="23"/>
      </right>
      <top style="thin">
        <color indexed="64"/>
      </top>
      <bottom style="thin">
        <color indexed="64"/>
      </bottom>
      <diagonal/>
    </border>
    <border>
      <left style="medium">
        <color indexed="23"/>
      </left>
      <right style="double">
        <color indexed="64"/>
      </right>
      <top style="double">
        <color indexed="64"/>
      </top>
      <bottom style="medium">
        <color indexed="23"/>
      </bottom>
      <diagonal/>
    </border>
    <border>
      <left style="medium">
        <color indexed="64"/>
      </left>
      <right style="medium">
        <color indexed="23"/>
      </right>
      <top style="double">
        <color indexed="64"/>
      </top>
      <bottom style="medium">
        <color indexed="23"/>
      </bottom>
      <diagonal/>
    </border>
    <border>
      <left style="medium">
        <color indexed="23"/>
      </left>
      <right style="thin">
        <color indexed="64"/>
      </right>
      <top/>
      <bottom style="medium">
        <color indexed="64"/>
      </bottom>
      <diagonal/>
    </border>
    <border>
      <left/>
      <right style="medium">
        <color indexed="23"/>
      </right>
      <top/>
      <bottom style="medium">
        <color indexed="64"/>
      </bottom>
      <diagonal/>
    </border>
    <border>
      <left style="medium">
        <color indexed="64"/>
      </left>
      <right style="medium">
        <color indexed="23"/>
      </right>
      <top style="thin">
        <color indexed="64"/>
      </top>
      <bottom style="medium">
        <color indexed="23"/>
      </bottom>
      <diagonal/>
    </border>
    <border>
      <left style="medium">
        <color indexed="64"/>
      </left>
      <right style="medium">
        <color indexed="23"/>
      </right>
      <top style="medium">
        <color indexed="23"/>
      </top>
      <bottom style="double">
        <color indexed="64"/>
      </bottom>
      <diagonal/>
    </border>
    <border>
      <left/>
      <right/>
      <top style="thin">
        <color indexed="64"/>
      </top>
      <bottom style="medium">
        <color indexed="23"/>
      </bottom>
      <diagonal/>
    </border>
    <border>
      <left/>
      <right/>
      <top style="medium">
        <color indexed="23"/>
      </top>
      <bottom style="double">
        <color indexed="64"/>
      </bottom>
      <diagonal/>
    </border>
    <border>
      <left/>
      <right/>
      <top style="double">
        <color indexed="64"/>
      </top>
      <bottom style="medium">
        <color indexed="23"/>
      </bottom>
      <diagonal/>
    </border>
    <border>
      <left style="thin">
        <color indexed="64"/>
      </left>
      <right style="thin">
        <color indexed="64"/>
      </right>
      <top style="medium">
        <color indexed="23"/>
      </top>
      <bottom style="medium">
        <color indexed="64"/>
      </bottom>
      <diagonal/>
    </border>
    <border>
      <left style="medium">
        <color indexed="22"/>
      </left>
      <right style="medium">
        <color indexed="22"/>
      </right>
      <top style="medium">
        <color indexed="22"/>
      </top>
      <bottom/>
      <diagonal/>
    </border>
    <border>
      <left/>
      <right style="medium">
        <color indexed="55"/>
      </right>
      <top/>
      <bottom style="hair">
        <color indexed="64"/>
      </bottom>
      <diagonal/>
    </border>
    <border>
      <left style="medium">
        <color indexed="55"/>
      </left>
      <right style="medium">
        <color indexed="55"/>
      </right>
      <top/>
      <bottom style="hair">
        <color indexed="64"/>
      </bottom>
      <diagonal/>
    </border>
    <border>
      <left style="medium">
        <color indexed="55"/>
      </left>
      <right style="medium">
        <color indexed="55"/>
      </right>
      <top style="hair">
        <color indexed="23"/>
      </top>
      <bottom style="medium">
        <color indexed="55"/>
      </bottom>
      <diagonal/>
    </border>
    <border>
      <left/>
      <right style="medium">
        <color indexed="55"/>
      </right>
      <top style="hair">
        <color indexed="64"/>
      </top>
      <bottom style="medium">
        <color indexed="55"/>
      </bottom>
      <diagonal/>
    </border>
    <border>
      <left style="medium">
        <color indexed="55"/>
      </left>
      <right style="medium">
        <color indexed="55"/>
      </right>
      <top style="hair">
        <color indexed="64"/>
      </top>
      <bottom style="medium">
        <color indexed="55"/>
      </bottom>
      <diagonal/>
    </border>
    <border>
      <left style="medium">
        <color indexed="64"/>
      </left>
      <right style="medium">
        <color indexed="64"/>
      </right>
      <top style="hair">
        <color indexed="64"/>
      </top>
      <bottom style="hair">
        <color indexed="64"/>
      </bottom>
      <diagonal/>
    </border>
    <border>
      <left style="hair">
        <color indexed="51"/>
      </left>
      <right style="hair">
        <color indexed="64"/>
      </right>
      <top style="dashDot">
        <color indexed="51"/>
      </top>
      <bottom style="dashDot">
        <color indexed="51"/>
      </bottom>
      <diagonal/>
    </border>
    <border>
      <left style="hair">
        <color indexed="51"/>
      </left>
      <right/>
      <top style="dashDot">
        <color indexed="51"/>
      </top>
      <bottom style="dashDot">
        <color indexed="51"/>
      </bottom>
      <diagonal/>
    </border>
    <border>
      <left style="hair">
        <color indexed="51"/>
      </left>
      <right style="hair">
        <color indexed="64"/>
      </right>
      <top/>
      <bottom style="dashDot">
        <color indexed="64"/>
      </bottom>
      <diagonal/>
    </border>
    <border>
      <left style="medium">
        <color indexed="22"/>
      </left>
      <right style="medium">
        <color indexed="22"/>
      </right>
      <top style="hair">
        <color indexed="22"/>
      </top>
      <bottom/>
      <diagonal/>
    </border>
    <border>
      <left style="medium">
        <color indexed="22"/>
      </left>
      <right style="medium">
        <color indexed="22"/>
      </right>
      <top style="hair">
        <color indexed="22"/>
      </top>
      <bottom style="medium">
        <color indexed="22"/>
      </bottom>
      <diagonal/>
    </border>
    <border>
      <left/>
      <right style="double">
        <color indexed="55"/>
      </right>
      <top/>
      <bottom/>
      <diagonal/>
    </border>
    <border>
      <left style="double">
        <color indexed="55"/>
      </left>
      <right/>
      <top style="double">
        <color indexed="55"/>
      </top>
      <bottom style="double">
        <color indexed="55"/>
      </bottom>
      <diagonal/>
    </border>
    <border>
      <left style="double">
        <color indexed="55"/>
      </left>
      <right/>
      <top/>
      <bottom style="double">
        <color indexed="55"/>
      </bottom>
      <diagonal/>
    </border>
    <border>
      <left/>
      <right style="double">
        <color indexed="55"/>
      </right>
      <top style="double">
        <color indexed="55"/>
      </top>
      <bottom style="double">
        <color indexed="55"/>
      </bottom>
      <diagonal/>
    </border>
    <border>
      <left/>
      <right style="double">
        <color indexed="55"/>
      </right>
      <top/>
      <bottom style="double">
        <color indexed="55"/>
      </bottom>
      <diagonal/>
    </border>
    <border>
      <left style="thin">
        <color indexed="55"/>
      </left>
      <right style="thin">
        <color indexed="55"/>
      </right>
      <top style="double">
        <color indexed="55"/>
      </top>
      <bottom style="double">
        <color indexed="55"/>
      </bottom>
      <diagonal/>
    </border>
    <border>
      <left style="double">
        <color indexed="55"/>
      </left>
      <right/>
      <top/>
      <bottom/>
      <diagonal/>
    </border>
    <border>
      <left style="double">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double">
        <color indexed="55"/>
      </right>
      <top style="thin">
        <color indexed="55"/>
      </top>
      <bottom style="thin">
        <color indexed="55"/>
      </bottom>
      <diagonal/>
    </border>
    <border>
      <left/>
      <right style="double">
        <color indexed="55"/>
      </right>
      <top style="thin">
        <color indexed="55"/>
      </top>
      <bottom style="double">
        <color indexed="55"/>
      </bottom>
      <diagonal/>
    </border>
    <border>
      <left style="double">
        <color indexed="64"/>
      </left>
      <right/>
      <top style="medium">
        <color indexed="64"/>
      </top>
      <bottom style="medium">
        <color indexed="64"/>
      </bottom>
      <diagonal/>
    </border>
    <border>
      <left style="double">
        <color indexed="55"/>
      </left>
      <right/>
      <top style="thin">
        <color indexed="55"/>
      </top>
      <bottom style="double">
        <color indexed="55"/>
      </bottom>
      <diagonal/>
    </border>
    <border>
      <left style="double">
        <color indexed="64"/>
      </left>
      <right style="thin">
        <color indexed="64"/>
      </right>
      <top style="mediumDashDot">
        <color indexed="64"/>
      </top>
      <bottom style="double">
        <color indexed="64"/>
      </bottom>
      <diagonal/>
    </border>
    <border>
      <left style="double">
        <color indexed="64"/>
      </left>
      <right/>
      <top style="double">
        <color indexed="22"/>
      </top>
      <bottom/>
      <diagonal/>
    </border>
    <border>
      <left/>
      <right/>
      <top style="double">
        <color indexed="22"/>
      </top>
      <bottom/>
      <diagonal/>
    </border>
    <border>
      <left style="double">
        <color indexed="64"/>
      </left>
      <right/>
      <top/>
      <bottom style="double">
        <color indexed="22"/>
      </bottom>
      <diagonal/>
    </border>
    <border>
      <left/>
      <right/>
      <top/>
      <bottom style="double">
        <color indexed="22"/>
      </bottom>
      <diagonal/>
    </border>
    <border>
      <left/>
      <right style="double">
        <color indexed="64"/>
      </right>
      <top style="double">
        <color indexed="55"/>
      </top>
      <bottom/>
      <diagonal/>
    </border>
    <border>
      <left/>
      <right style="double">
        <color indexed="64"/>
      </right>
      <top/>
      <bottom style="double">
        <color indexed="55"/>
      </bottom>
      <diagonal/>
    </border>
    <border>
      <left style="double">
        <color indexed="64"/>
      </left>
      <right style="double">
        <color indexed="64"/>
      </right>
      <top/>
      <bottom style="hair">
        <color indexed="64"/>
      </bottom>
      <diagonal/>
    </border>
    <border>
      <left style="medium">
        <color indexed="64"/>
      </left>
      <right style="double">
        <color indexed="64"/>
      </right>
      <top style="hair">
        <color indexed="64"/>
      </top>
      <bottom/>
      <diagonal/>
    </border>
    <border>
      <left style="medium">
        <color indexed="64"/>
      </left>
      <right style="double">
        <color indexed="64"/>
      </right>
      <top style="thin">
        <color indexed="64"/>
      </top>
      <bottom style="hair">
        <color indexed="64"/>
      </bottom>
      <diagonal/>
    </border>
    <border>
      <left style="medium">
        <color indexed="64"/>
      </left>
      <right style="double">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double">
        <color indexed="64"/>
      </left>
      <right/>
      <top style="thin">
        <color indexed="23"/>
      </top>
      <bottom style="thin">
        <color indexed="23"/>
      </bottom>
      <diagonal/>
    </border>
    <border>
      <left style="thin">
        <color indexed="64"/>
      </left>
      <right style="double">
        <color indexed="64"/>
      </right>
      <top style="double">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double">
        <color indexed="64"/>
      </bottom>
      <diagonal/>
    </border>
    <border>
      <left style="double">
        <color indexed="64"/>
      </left>
      <right/>
      <top style="thin">
        <color indexed="55"/>
      </top>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double">
        <color indexed="55"/>
      </left>
      <right style="thin">
        <color indexed="55"/>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double">
        <color indexed="64"/>
      </left>
      <right/>
      <top style="mediumDashDot">
        <color indexed="64"/>
      </top>
      <bottom style="double">
        <color indexed="64"/>
      </bottom>
      <diagonal/>
    </border>
    <border>
      <left/>
      <right style="thin">
        <color indexed="64"/>
      </right>
      <top style="medium">
        <color indexed="64"/>
      </top>
      <bottom/>
      <diagonal/>
    </border>
    <border>
      <left style="double">
        <color indexed="55"/>
      </left>
      <right/>
      <top style="double">
        <color indexed="55"/>
      </top>
      <bottom/>
      <diagonal/>
    </border>
    <border>
      <left/>
      <right/>
      <top style="double">
        <color indexed="55"/>
      </top>
      <bottom/>
      <diagonal/>
    </border>
    <border>
      <left/>
      <right style="double">
        <color indexed="55"/>
      </right>
      <top style="double">
        <color indexed="55"/>
      </top>
      <bottom/>
      <diagonal/>
    </border>
    <border>
      <left style="thin">
        <color indexed="64"/>
      </left>
      <right/>
      <top/>
      <bottom style="double">
        <color indexed="64"/>
      </bottom>
      <diagonal/>
    </border>
    <border>
      <left style="medium">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Dashed">
        <color indexed="64"/>
      </top>
      <bottom/>
      <diagonal/>
    </border>
    <border>
      <left/>
      <right style="medium">
        <color indexed="64"/>
      </right>
      <top style="mediumDashed">
        <color indexed="64"/>
      </top>
      <bottom/>
      <diagonal/>
    </border>
    <border>
      <left style="medium">
        <color indexed="64"/>
      </left>
      <right style="medium">
        <color indexed="64"/>
      </right>
      <top style="mediumDashed">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medium">
        <color indexed="64"/>
      </top>
      <bottom style="double">
        <color indexed="64"/>
      </bottom>
      <diagonal/>
    </border>
    <border>
      <left style="hair">
        <color indexed="64"/>
      </left>
      <right/>
      <top style="medium">
        <color indexed="64"/>
      </top>
      <bottom style="medium">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bottom style="hair">
        <color indexed="64"/>
      </bottom>
      <diagonal/>
    </border>
    <border>
      <left/>
      <right style="double">
        <color indexed="64"/>
      </right>
      <top/>
      <bottom style="hair">
        <color indexed="64"/>
      </bottom>
      <diagonal/>
    </border>
    <border>
      <left style="hair">
        <color indexed="64"/>
      </left>
      <right/>
      <top style="medium">
        <color indexed="64"/>
      </top>
      <bottom/>
      <diagonal/>
    </border>
    <border>
      <left style="hair">
        <color indexed="64"/>
      </left>
      <right style="hair">
        <color indexed="64"/>
      </right>
      <top style="double">
        <color indexed="64"/>
      </top>
      <bottom style="double">
        <color indexed="64"/>
      </bottom>
      <diagonal/>
    </border>
    <border>
      <left/>
      <right/>
      <top/>
      <bottom style="hair">
        <color indexed="64"/>
      </bottom>
      <diagonal/>
    </border>
    <border>
      <left style="hair">
        <color indexed="51"/>
      </left>
      <right/>
      <top style="hair">
        <color indexed="64"/>
      </top>
      <bottom/>
      <diagonal/>
    </border>
    <border>
      <left style="hair">
        <color indexed="51"/>
      </left>
      <right/>
      <top/>
      <bottom style="hair">
        <color indexed="64"/>
      </bottom>
      <diagonal/>
    </border>
    <border>
      <left/>
      <right style="hair">
        <color indexed="51"/>
      </right>
      <top style="hair">
        <color indexed="64"/>
      </top>
      <bottom/>
      <diagonal/>
    </border>
    <border>
      <left/>
      <right style="hair">
        <color indexed="51"/>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64"/>
      </left>
      <right style="medium">
        <color indexed="64"/>
      </right>
      <top/>
      <bottom style="hair">
        <color indexed="64"/>
      </bottom>
      <diagonal/>
    </border>
    <border>
      <left style="thin">
        <color indexed="64"/>
      </left>
      <right style="thin">
        <color indexed="64"/>
      </right>
      <top style="medium">
        <color indexed="64"/>
      </top>
      <bottom style="double">
        <color indexed="64"/>
      </bottom>
      <diagonal/>
    </border>
    <border>
      <left/>
      <right/>
      <top style="double">
        <color auto="1"/>
      </top>
      <bottom style="thin">
        <color auto="1"/>
      </bottom>
      <diagonal/>
    </border>
    <border>
      <left style="medium">
        <color indexed="23"/>
      </left>
      <right style="medium">
        <color indexed="23"/>
      </right>
      <top style="thin">
        <color indexed="64"/>
      </top>
      <bottom style="medium">
        <color indexed="23"/>
      </bottom>
      <diagonal/>
    </border>
    <border>
      <left style="medium">
        <color indexed="23"/>
      </left>
      <right style="medium">
        <color indexed="23"/>
      </right>
      <top style="medium">
        <color indexed="23"/>
      </top>
      <bottom style="double">
        <color indexed="64"/>
      </bottom>
      <diagonal/>
    </border>
    <border>
      <left style="thin">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medium">
        <color indexed="64"/>
      </left>
      <right style="medium">
        <color indexed="64"/>
      </right>
      <top/>
      <bottom style="mediumDashed">
        <color indexed="64"/>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right/>
      <top style="double">
        <color indexed="64"/>
      </top>
      <bottom/>
      <diagonal/>
    </border>
    <border>
      <left style="double">
        <color indexed="60"/>
      </left>
      <right/>
      <top style="double">
        <color indexed="60"/>
      </top>
      <bottom style="double">
        <color indexed="60"/>
      </bottom>
      <diagonal/>
    </border>
    <border>
      <left/>
      <right/>
      <top style="double">
        <color indexed="60"/>
      </top>
      <bottom style="double">
        <color indexed="60"/>
      </bottom>
      <diagonal/>
    </border>
    <border>
      <left/>
      <right style="double">
        <color indexed="60"/>
      </right>
      <top style="double">
        <color indexed="60"/>
      </top>
      <bottom style="double">
        <color indexed="60"/>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Dashed">
        <color theme="1" tint="0.499984740745262"/>
      </left>
      <right/>
      <top/>
      <bottom style="mediumDashed">
        <color theme="1" tint="0.499984740745262"/>
      </bottom>
      <diagonal/>
    </border>
    <border>
      <left/>
      <right/>
      <top/>
      <bottom style="mediumDashed">
        <color theme="1" tint="0.499984740745262"/>
      </bottom>
      <diagonal/>
    </border>
    <border>
      <left/>
      <right style="mediumDashed">
        <color theme="1" tint="0.499984740745262"/>
      </right>
      <top/>
      <bottom style="mediumDashed">
        <color theme="1" tint="0.499984740745262"/>
      </bottom>
      <diagonal/>
    </border>
    <border>
      <left style="mediumDashed">
        <color theme="0" tint="-0.499984740745262"/>
      </left>
      <right/>
      <top/>
      <bottom style="mediumDashed">
        <color theme="0" tint="-0.499984740745262"/>
      </bottom>
      <diagonal/>
    </border>
    <border>
      <left/>
      <right/>
      <top/>
      <bottom style="mediumDashed">
        <color theme="0" tint="-0.499984740745262"/>
      </bottom>
      <diagonal/>
    </border>
    <border>
      <left/>
      <right style="mediumDashed">
        <color theme="0" tint="-0.499984740745262"/>
      </right>
      <top/>
      <bottom style="mediumDashed">
        <color theme="0" tint="-0.499984740745262"/>
      </bottom>
      <diagonal/>
    </border>
    <border>
      <left/>
      <right/>
      <top style="mediumDashDot">
        <color indexed="64"/>
      </top>
      <bottom style="double">
        <color indexed="64"/>
      </bottom>
      <diagonal/>
    </border>
    <border>
      <left style="double">
        <color indexed="55"/>
      </left>
      <right/>
      <top style="thick">
        <color indexed="55"/>
      </top>
      <bottom/>
      <diagonal/>
    </border>
    <border>
      <left style="thin">
        <color indexed="64"/>
      </left>
      <right style="medium">
        <color indexed="23"/>
      </right>
      <top/>
      <bottom style="medium">
        <color indexed="64"/>
      </bottom>
      <diagonal/>
    </border>
    <border>
      <left/>
      <right style="medium">
        <color indexed="23"/>
      </right>
      <top style="double">
        <color auto="1"/>
      </top>
      <bottom style="double">
        <color auto="1"/>
      </bottom>
      <diagonal/>
    </border>
    <border>
      <left style="medium">
        <color indexed="23"/>
      </left>
      <right/>
      <top style="double">
        <color auto="1"/>
      </top>
      <bottom style="double">
        <color auto="1"/>
      </bottom>
      <diagonal/>
    </border>
    <border>
      <left style="double">
        <color indexed="64"/>
      </left>
      <right style="medium">
        <color indexed="64"/>
      </right>
      <top/>
      <bottom style="medium">
        <color indexed="64"/>
      </bottom>
      <diagonal/>
    </border>
    <border>
      <left/>
      <right/>
      <top style="double">
        <color indexed="64"/>
      </top>
      <bottom style="double">
        <color indexed="64"/>
      </bottom>
      <diagonal/>
    </border>
    <border>
      <left/>
      <right/>
      <top style="double">
        <color indexed="64"/>
      </top>
      <bottom/>
      <diagonal/>
    </border>
    <border>
      <left style="double">
        <color indexed="64"/>
      </left>
      <right style="medium">
        <color indexed="64"/>
      </right>
      <top style="medium">
        <color indexed="64"/>
      </top>
      <bottom style="thin">
        <color indexed="64"/>
      </bottom>
      <diagonal/>
    </border>
    <border>
      <left style="medium">
        <color indexed="64"/>
      </left>
      <right/>
      <top style="double">
        <color indexed="64"/>
      </top>
      <bottom/>
      <diagonal/>
    </border>
    <border>
      <left style="double">
        <color theme="1" tint="0.499984740745262"/>
      </left>
      <right style="thin">
        <color theme="1" tint="0.499984740745262"/>
      </right>
      <top style="double">
        <color theme="1" tint="0.499984740745262"/>
      </top>
      <bottom style="double">
        <color theme="1" tint="0.499984740745262"/>
      </bottom>
      <diagonal/>
    </border>
    <border>
      <left style="thin">
        <color theme="1" tint="0.499984740745262"/>
      </left>
      <right style="thin">
        <color theme="1" tint="0.499984740745262"/>
      </right>
      <top style="double">
        <color theme="1" tint="0.499984740745262"/>
      </top>
      <bottom style="double">
        <color theme="1" tint="0.499984740745262"/>
      </bottom>
      <diagonal/>
    </border>
    <border>
      <left style="thin">
        <color theme="1" tint="0.499984740745262"/>
      </left>
      <right style="double">
        <color theme="1" tint="0.499984740745262"/>
      </right>
      <top style="double">
        <color theme="1" tint="0.499984740745262"/>
      </top>
      <bottom style="double">
        <color theme="1" tint="0.499984740745262"/>
      </bottom>
      <diagonal/>
    </border>
    <border>
      <left style="double">
        <color theme="1" tint="0.499984740745262"/>
      </left>
      <right style="thin">
        <color theme="1" tint="0.499984740745262"/>
      </right>
      <top style="double">
        <color theme="1" tint="0.499984740745262"/>
      </top>
      <bottom/>
      <diagonal/>
    </border>
    <border>
      <left style="thin">
        <color theme="1" tint="0.499984740745262"/>
      </left>
      <right style="thin">
        <color theme="1" tint="0.499984740745262"/>
      </right>
      <top style="double">
        <color theme="1" tint="0.499984740745262"/>
      </top>
      <bottom/>
      <diagonal/>
    </border>
    <border>
      <left style="thin">
        <color theme="1" tint="0.499984740745262"/>
      </left>
      <right style="double">
        <color theme="1" tint="0.499984740745262"/>
      </right>
      <top style="double">
        <color theme="1" tint="0.499984740745262"/>
      </top>
      <bottom/>
      <diagonal/>
    </border>
    <border>
      <left style="double">
        <color theme="1" tint="0.499984740745262"/>
      </left>
      <right style="thin">
        <color theme="1" tint="0.499984740745262"/>
      </right>
      <top style="dotted">
        <color theme="1" tint="0.499984740745262"/>
      </top>
      <bottom style="double">
        <color theme="1" tint="0.499984740745262"/>
      </bottom>
      <diagonal/>
    </border>
    <border>
      <left style="thin">
        <color theme="1" tint="0.499984740745262"/>
      </left>
      <right style="thin">
        <color theme="1" tint="0.499984740745262"/>
      </right>
      <top style="dotted">
        <color theme="1" tint="0.499984740745262"/>
      </top>
      <bottom style="double">
        <color theme="1" tint="0.499984740745262"/>
      </bottom>
      <diagonal/>
    </border>
    <border>
      <left style="thin">
        <color indexed="64"/>
      </left>
      <right style="double">
        <color theme="1" tint="0.499984740745262"/>
      </right>
      <top style="dotted">
        <color theme="1" tint="0.499984740745262"/>
      </top>
      <bottom style="double">
        <color theme="1" tint="0.499984740745262"/>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double">
        <color auto="1"/>
      </left>
      <right/>
      <top style="double">
        <color auto="1"/>
      </top>
      <bottom style="double">
        <color auto="1"/>
      </bottom>
      <diagonal/>
    </border>
    <border>
      <left style="medium">
        <color indexed="64"/>
      </left>
      <right/>
      <top style="double">
        <color auto="1"/>
      </top>
      <bottom style="double">
        <color auto="1"/>
      </bottom>
      <diagonal/>
    </border>
    <border>
      <left/>
      <right/>
      <top style="double">
        <color auto="1"/>
      </top>
      <bottom style="double">
        <color auto="1"/>
      </bottom>
      <diagonal/>
    </border>
    <border>
      <left/>
      <right style="medium">
        <color indexed="64"/>
      </right>
      <top style="double">
        <color auto="1"/>
      </top>
      <bottom style="double">
        <color auto="1"/>
      </bottom>
      <diagonal/>
    </border>
    <border>
      <left style="medium">
        <color indexed="64"/>
      </left>
      <right style="double">
        <color auto="1"/>
      </right>
      <top style="double">
        <color auto="1"/>
      </top>
      <bottom style="double">
        <color auto="1"/>
      </bottom>
      <diagonal/>
    </border>
    <border>
      <left/>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diagonal/>
    </border>
    <border>
      <left style="double">
        <color auto="1"/>
      </left>
      <right/>
      <top style="double">
        <color auto="1"/>
      </top>
      <bottom style="double">
        <color indexed="64"/>
      </bottom>
      <diagonal/>
    </border>
    <border>
      <left/>
      <right/>
      <top style="double">
        <color auto="1"/>
      </top>
      <bottom style="double">
        <color indexed="64"/>
      </bottom>
      <diagonal/>
    </border>
    <border>
      <left/>
      <right style="double">
        <color auto="1"/>
      </right>
      <top style="double">
        <color auto="1"/>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medium">
        <color indexed="64"/>
      </right>
      <top style="dotted">
        <color indexed="64"/>
      </top>
      <bottom/>
      <diagonal/>
    </border>
    <border>
      <left style="medium">
        <color indexed="64"/>
      </left>
      <right style="double">
        <color indexed="64"/>
      </right>
      <top style="dotted">
        <color indexed="64"/>
      </top>
      <bottom style="medium">
        <color indexed="64"/>
      </bottom>
      <diagonal/>
    </border>
    <border>
      <left style="hair">
        <color indexed="64"/>
      </left>
      <right style="hair">
        <color indexed="64"/>
      </right>
      <top style="double">
        <color indexed="64"/>
      </top>
      <bottom/>
      <diagonal/>
    </border>
    <border>
      <left style="thin">
        <color indexed="64"/>
      </left>
      <right/>
      <top style="thin">
        <color indexed="64"/>
      </top>
      <bottom style="double">
        <color indexed="64"/>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indexed="64"/>
      </left>
      <right/>
      <top style="medium">
        <color auto="1"/>
      </top>
      <bottom/>
      <diagonal/>
    </border>
    <border>
      <left/>
      <right style="double">
        <color indexed="64"/>
      </right>
      <top style="medium">
        <color auto="1"/>
      </top>
      <bottom/>
      <diagonal/>
    </border>
    <border>
      <left style="thin">
        <color indexed="64"/>
      </left>
      <right/>
      <top/>
      <bottom style="medium">
        <color indexed="64"/>
      </bottom>
      <diagonal/>
    </border>
    <border>
      <left/>
      <right style="double">
        <color indexed="64"/>
      </right>
      <top style="double">
        <color indexed="64"/>
      </top>
      <bottom style="thin">
        <color indexed="64"/>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double">
        <color indexed="8"/>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medium">
        <color indexed="64"/>
      </bottom>
      <diagonal/>
    </border>
    <border>
      <left style="double">
        <color theme="0" tint="-0.34998626667073579"/>
      </left>
      <right style="medium">
        <color theme="0" tint="-0.34998626667073579"/>
      </right>
      <top style="double">
        <color theme="0" tint="-0.34998626667073579"/>
      </top>
      <bottom style="double">
        <color theme="0" tint="-0.34998626667073579"/>
      </bottom>
      <diagonal/>
    </border>
    <border>
      <left style="medium">
        <color theme="0" tint="-0.24994659260841701"/>
      </left>
      <right style="double">
        <color theme="0" tint="-0.34998626667073579"/>
      </right>
      <top style="double">
        <color theme="0" tint="-0.34998626667073579"/>
      </top>
      <bottom style="double">
        <color theme="0" tint="-0.34998626667073579"/>
      </bottom>
      <diagonal/>
    </border>
    <border>
      <left style="medium">
        <color theme="0" tint="-0.34998626667073579"/>
      </left>
      <right style="double">
        <color theme="0" tint="-0.34998626667073579"/>
      </right>
      <top style="double">
        <color theme="0" tint="-0.34998626667073579"/>
      </top>
      <bottom style="double">
        <color theme="0" tint="-0.34998626667073579"/>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hair">
        <color indexed="64"/>
      </left>
      <right style="hair">
        <color indexed="64"/>
      </right>
      <top style="medium">
        <color indexed="64"/>
      </top>
      <bottom style="thin">
        <color indexed="64"/>
      </bottom>
      <diagonal/>
    </border>
    <border>
      <left style="double">
        <color indexed="64"/>
      </left>
      <right style="hair">
        <color indexed="64"/>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bottom style="thin">
        <color indexed="64"/>
      </bottom>
      <diagonal/>
    </border>
    <border>
      <left style="double">
        <color indexed="64"/>
      </left>
      <right style="hair">
        <color indexed="64"/>
      </right>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auto="1"/>
      </left>
      <right style="hair">
        <color indexed="64"/>
      </right>
      <top style="double">
        <color auto="1"/>
      </top>
      <bottom style="medium">
        <color auto="1"/>
      </bottom>
      <diagonal/>
    </border>
    <border>
      <left style="medium">
        <color auto="1"/>
      </left>
      <right style="hair">
        <color indexed="64"/>
      </right>
      <top style="medium">
        <color indexed="64"/>
      </top>
      <bottom style="thin">
        <color indexed="64"/>
      </bottom>
      <diagonal/>
    </border>
    <border>
      <left style="medium">
        <color auto="1"/>
      </left>
      <right style="hair">
        <color indexed="64"/>
      </right>
      <top/>
      <bottom style="thin">
        <color indexed="64"/>
      </bottom>
      <diagonal/>
    </border>
    <border>
      <left style="medium">
        <color auto="1"/>
      </left>
      <right style="hair">
        <color indexed="64"/>
      </right>
      <top/>
      <bottom/>
      <diagonal/>
    </border>
    <border>
      <left style="medium">
        <color auto="1"/>
      </left>
      <right style="hair">
        <color indexed="64"/>
      </right>
      <top style="thin">
        <color indexed="64"/>
      </top>
      <bottom style="thin">
        <color indexed="64"/>
      </bottom>
      <diagonal/>
    </border>
    <border>
      <left style="medium">
        <color auto="1"/>
      </left>
      <right style="hair">
        <color indexed="64"/>
      </right>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medium">
        <color indexed="64"/>
      </top>
      <bottom/>
      <diagonal/>
    </border>
    <border>
      <left style="thin">
        <color theme="0" tint="-0.34998626667073579"/>
      </left>
      <right style="thin">
        <color theme="0" tint="-0.34998626667073579"/>
      </right>
      <top style="hair">
        <color indexed="64"/>
      </top>
      <bottom/>
      <diagonal/>
    </border>
    <border>
      <left style="thin">
        <color theme="0" tint="-0.34998626667073579"/>
      </left>
      <right style="thin">
        <color theme="0" tint="-0.34998626667073579"/>
      </right>
      <top style="thin">
        <color indexed="64"/>
      </top>
      <bottom style="double">
        <color indexed="64"/>
      </bottom>
      <diagonal/>
    </border>
    <border>
      <left style="thin">
        <color theme="0" tint="-0.34998626667073579"/>
      </left>
      <right style="thin">
        <color theme="0" tint="-0.34998626667073579"/>
      </right>
      <top style="double">
        <color indexed="64"/>
      </top>
      <bottom style="double">
        <color indexed="64"/>
      </bottom>
      <diagonal/>
    </border>
    <border>
      <left style="thin">
        <color theme="0" tint="-0.34998626667073579"/>
      </left>
      <right style="thin">
        <color theme="0" tint="-0.34998626667073579"/>
      </right>
      <top style="double">
        <color indexed="64"/>
      </top>
      <bottom style="medium">
        <color indexed="64"/>
      </bottom>
      <diagonal/>
    </border>
    <border>
      <left style="thin">
        <color theme="0" tint="-0.34998626667073579"/>
      </left>
      <right style="thin">
        <color theme="0" tint="-0.34998626667073579"/>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theme="0" tint="-0.34998626667073579"/>
      </left>
      <right style="thin">
        <color theme="0" tint="-0.34998626667073579"/>
      </right>
      <top style="double">
        <color indexed="64"/>
      </top>
      <bottom/>
      <diagonal/>
    </border>
    <border>
      <left style="thin">
        <color theme="0" tint="-0.34998626667073579"/>
      </left>
      <right style="thin">
        <color theme="0" tint="-0.34998626667073579"/>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Dashed">
        <color indexed="64"/>
      </top>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style="medium">
        <color theme="0"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medium">
        <color indexed="64"/>
      </left>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top style="medium">
        <color indexed="64"/>
      </top>
      <bottom/>
      <diagonal/>
    </border>
    <border>
      <left/>
      <right/>
      <top style="dashed">
        <color indexed="64"/>
      </top>
      <bottom style="dashed">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tted">
        <color indexed="64"/>
      </top>
      <bottom style="dotted">
        <color indexed="64"/>
      </bottom>
      <diagonal/>
    </border>
    <border>
      <left/>
      <right style="medium">
        <color indexed="64"/>
      </right>
      <top style="medium">
        <color indexed="64"/>
      </top>
      <bottom/>
      <diagonal/>
    </border>
    <border>
      <left style="medium">
        <color indexed="64"/>
      </left>
      <right style="thin">
        <color indexed="64"/>
      </right>
      <top style="double">
        <color indexed="64"/>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double">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double">
        <color theme="0" tint="-0.34998626667073579"/>
      </right>
      <top style="double">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style="hair">
        <color indexed="51"/>
      </right>
      <top/>
      <bottom style="medium">
        <color auto="1"/>
      </bottom>
      <diagonal/>
    </border>
    <border>
      <left style="hair">
        <color indexed="51"/>
      </left>
      <right/>
      <top/>
      <bottom style="medium">
        <color auto="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double">
        <color theme="0" tint="-0.34998626667073579"/>
      </top>
      <bottom/>
      <diagonal/>
    </border>
    <border>
      <left style="double">
        <color theme="0" tint="-0.34998626667073579"/>
      </left>
      <right style="thin">
        <color theme="0" tint="-0.34998626667073579"/>
      </right>
      <top style="thin">
        <color theme="0" tint="-0.34998626667073579"/>
      </top>
      <bottom/>
      <diagonal/>
    </border>
    <border>
      <left style="thin">
        <color theme="0" tint="-0.34998626667073579"/>
      </left>
      <right style="double">
        <color theme="0" tint="-0.34998626667073579"/>
      </right>
      <top style="thin">
        <color theme="0" tint="-0.34998626667073579"/>
      </top>
      <bottom/>
      <diagonal/>
    </border>
    <border>
      <left style="medium">
        <color indexed="64"/>
      </left>
      <right/>
      <top style="dotted">
        <color indexed="64"/>
      </top>
      <bottom style="medium">
        <color auto="1"/>
      </bottom>
      <diagonal/>
    </border>
    <border>
      <left/>
      <right style="medium">
        <color auto="1"/>
      </right>
      <top style="dotted">
        <color indexed="64"/>
      </top>
      <bottom style="medium">
        <color auto="1"/>
      </bottom>
      <diagonal/>
    </border>
    <border>
      <left style="thin">
        <color auto="1"/>
      </left>
      <right style="thin">
        <color auto="1"/>
      </right>
      <top style="medium">
        <color auto="1"/>
      </top>
      <bottom/>
      <diagonal/>
    </border>
    <border>
      <left style="thin">
        <color auto="1"/>
      </left>
      <right style="double">
        <color auto="1"/>
      </right>
      <top style="medium">
        <color auto="1"/>
      </top>
      <bottom/>
      <diagonal/>
    </border>
    <border>
      <left style="double">
        <color indexed="64"/>
      </left>
      <right/>
      <top/>
      <bottom style="medium">
        <color indexed="64"/>
      </bottom>
      <diagonal/>
    </border>
    <border>
      <left/>
      <right style="double">
        <color indexed="64"/>
      </right>
      <top/>
      <bottom style="medium">
        <color indexed="64"/>
      </bottom>
      <diagonal/>
    </border>
    <border>
      <left style="hair">
        <color indexed="64"/>
      </left>
      <right/>
      <top/>
      <bottom style="double">
        <color auto="1"/>
      </bottom>
      <diagonal/>
    </border>
    <border>
      <left/>
      <right style="hair">
        <color indexed="64"/>
      </right>
      <top/>
      <bottom style="double">
        <color auto="1"/>
      </bottom>
      <diagonal/>
    </border>
    <border>
      <left/>
      <right style="hair">
        <color indexed="64"/>
      </right>
      <top style="medium">
        <color indexed="64"/>
      </top>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style="double">
        <color auto="1"/>
      </bottom>
      <diagonal/>
    </border>
    <border>
      <left/>
      <right style="hair">
        <color indexed="64"/>
      </right>
      <top style="double">
        <color indexed="64"/>
      </top>
      <bottom style="double">
        <color auto="1"/>
      </bottom>
      <diagonal/>
    </border>
    <border>
      <left/>
      <right/>
      <top/>
      <bottom style="double">
        <color auto="1"/>
      </bottom>
      <diagonal/>
    </border>
  </borders>
  <cellStyleXfs count="6">
    <xf numFmtId="0" fontId="0" fillId="0" borderId="0" applyProtection="0"/>
    <xf numFmtId="176" fontId="3" fillId="0" borderId="0" applyFont="0" applyFill="0" applyBorder="0" applyAlignment="0" applyProtection="0"/>
    <xf numFmtId="0" fontId="12" fillId="0" borderId="0" applyNumberFormat="0" applyFill="0" applyBorder="0" applyAlignment="0" applyProtection="0">
      <alignment vertical="top"/>
      <protection locked="0"/>
    </xf>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4203">
    <xf numFmtId="0" fontId="0" fillId="0" borderId="0" xfId="0"/>
    <xf numFmtId="3" fontId="8" fillId="0" borderId="0" xfId="0" applyNumberFormat="1" applyFont="1"/>
    <xf numFmtId="0" fontId="7" fillId="0" borderId="0" xfId="0" applyFont="1"/>
    <xf numFmtId="0" fontId="4" fillId="0" borderId="0" xfId="0" applyFont="1"/>
    <xf numFmtId="3" fontId="7" fillId="0" borderId="0" xfId="0" applyNumberFormat="1" applyFont="1"/>
    <xf numFmtId="0" fontId="4" fillId="0" borderId="0" xfId="0" applyFont="1" applyFill="1"/>
    <xf numFmtId="0" fontId="7" fillId="0" borderId="0" xfId="0" applyFont="1" applyFill="1"/>
    <xf numFmtId="0" fontId="11" fillId="0" borderId="0" xfId="0" applyFont="1" applyAlignment="1">
      <alignment horizontal="center"/>
    </xf>
    <xf numFmtId="3" fontId="6" fillId="0" borderId="0" xfId="0" applyNumberFormat="1" applyFont="1" applyFill="1" applyBorder="1" applyProtection="1">
      <protection hidden="1"/>
    </xf>
    <xf numFmtId="3" fontId="8" fillId="0" borderId="0" xfId="0" applyNumberFormat="1" applyFont="1" applyFill="1" applyBorder="1" applyProtection="1">
      <protection hidden="1"/>
    </xf>
    <xf numFmtId="3" fontId="7" fillId="2" borderId="1" xfId="0" applyNumberFormat="1" applyFont="1" applyFill="1" applyBorder="1" applyProtection="1">
      <protection hidden="1"/>
    </xf>
    <xf numFmtId="3" fontId="7" fillId="2" borderId="2" xfId="0" applyNumberFormat="1" applyFont="1" applyFill="1" applyBorder="1" applyProtection="1">
      <protection hidden="1"/>
    </xf>
    <xf numFmtId="3" fontId="7" fillId="0" borderId="3" xfId="0" applyNumberFormat="1" applyFont="1" applyFill="1" applyBorder="1" applyProtection="1">
      <protection hidden="1"/>
    </xf>
    <xf numFmtId="3" fontId="7" fillId="0" borderId="4" xfId="0" applyNumberFormat="1" applyFont="1" applyFill="1" applyBorder="1" applyProtection="1">
      <protection hidden="1"/>
    </xf>
    <xf numFmtId="3" fontId="8" fillId="0" borderId="4" xfId="0" applyNumberFormat="1" applyFont="1" applyFill="1" applyBorder="1" applyProtection="1">
      <protection hidden="1"/>
    </xf>
    <xf numFmtId="3" fontId="7" fillId="0" borderId="5" xfId="0" applyNumberFormat="1" applyFont="1" applyFill="1" applyBorder="1" applyAlignment="1" applyProtection="1">
      <alignment horizontal="center"/>
      <protection hidden="1"/>
    </xf>
    <xf numFmtId="3" fontId="7" fillId="2" borderId="6" xfId="0" applyNumberFormat="1" applyFont="1" applyFill="1" applyBorder="1" applyProtection="1">
      <protection hidden="1"/>
    </xf>
    <xf numFmtId="3" fontId="7" fillId="2" borderId="7" xfId="0" applyNumberFormat="1" applyFont="1" applyFill="1" applyBorder="1" applyAlignment="1" applyProtection="1">
      <alignment horizontal="center" vertical="center" wrapText="1"/>
      <protection hidden="1"/>
    </xf>
    <xf numFmtId="3" fontId="7" fillId="2" borderId="8" xfId="0" applyNumberFormat="1" applyFont="1" applyFill="1" applyBorder="1" applyAlignment="1" applyProtection="1">
      <alignment horizontal="center" vertical="center" wrapText="1"/>
      <protection hidden="1"/>
    </xf>
    <xf numFmtId="3" fontId="7" fillId="2" borderId="9" xfId="0" applyNumberFormat="1" applyFont="1" applyFill="1" applyBorder="1" applyAlignment="1" applyProtection="1">
      <alignment horizontal="center" vertical="center" wrapText="1"/>
      <protection hidden="1"/>
    </xf>
    <xf numFmtId="3" fontId="7" fillId="0" borderId="0" xfId="0" applyNumberFormat="1" applyFont="1" applyFill="1" applyBorder="1" applyAlignment="1" applyProtection="1">
      <alignment horizontal="center" vertical="center" wrapText="1"/>
      <protection hidden="1"/>
    </xf>
    <xf numFmtId="3" fontId="8" fillId="0" borderId="10" xfId="0" applyNumberFormat="1" applyFont="1" applyFill="1" applyBorder="1" applyAlignment="1" applyProtection="1">
      <alignment horizontal="center"/>
      <protection hidden="1"/>
    </xf>
    <xf numFmtId="3" fontId="8" fillId="0" borderId="11" xfId="0" applyNumberFormat="1" applyFont="1" applyFill="1" applyBorder="1" applyProtection="1">
      <protection hidden="1"/>
    </xf>
    <xf numFmtId="3" fontId="8" fillId="0" borderId="12" xfId="0" applyNumberFormat="1" applyFont="1" applyFill="1" applyBorder="1" applyAlignment="1" applyProtection="1">
      <alignment horizontal="center"/>
      <protection hidden="1"/>
    </xf>
    <xf numFmtId="3" fontId="8" fillId="0" borderId="13" xfId="0" applyNumberFormat="1" applyFont="1" applyFill="1" applyBorder="1" applyAlignment="1" applyProtection="1">
      <alignment horizontal="center"/>
      <protection hidden="1"/>
    </xf>
    <xf numFmtId="3" fontId="8" fillId="0" borderId="14" xfId="0" applyNumberFormat="1" applyFont="1" applyFill="1" applyBorder="1" applyProtection="1">
      <protection hidden="1"/>
    </xf>
    <xf numFmtId="3" fontId="8" fillId="0" borderId="15" xfId="0" applyNumberFormat="1" applyFont="1" applyFill="1" applyBorder="1" applyAlignment="1" applyProtection="1">
      <alignment horizontal="center"/>
      <protection hidden="1"/>
    </xf>
    <xf numFmtId="0" fontId="7" fillId="3" borderId="10" xfId="0" applyNumberFormat="1" applyFont="1" applyFill="1" applyBorder="1" applyAlignment="1" applyProtection="1">
      <alignment horizontal="center"/>
      <protection hidden="1"/>
    </xf>
    <xf numFmtId="0" fontId="7" fillId="3" borderId="12" xfId="0" applyNumberFormat="1" applyFont="1" applyFill="1" applyBorder="1" applyAlignment="1" applyProtection="1">
      <alignment horizontal="center"/>
      <protection hidden="1"/>
    </xf>
    <xf numFmtId="0" fontId="7" fillId="3" borderId="15" xfId="0" applyNumberFormat="1" applyFont="1" applyFill="1" applyBorder="1" applyAlignment="1" applyProtection="1">
      <alignment horizontal="center"/>
      <protection hidden="1"/>
    </xf>
    <xf numFmtId="3" fontId="8" fillId="0" borderId="0" xfId="0" applyNumberFormat="1" applyFont="1" applyFill="1" applyBorder="1" applyAlignment="1" applyProtection="1">
      <alignment horizontal="center" vertical="center" wrapText="1"/>
      <protection hidden="1"/>
    </xf>
    <xf numFmtId="3" fontId="7" fillId="2" borderId="16" xfId="0" applyNumberFormat="1" applyFont="1" applyFill="1" applyBorder="1" applyAlignment="1" applyProtection="1">
      <alignment horizontal="center" vertical="center" wrapText="1"/>
      <protection hidden="1"/>
    </xf>
    <xf numFmtId="3" fontId="7" fillId="2" borderId="17" xfId="0" applyNumberFormat="1" applyFont="1" applyFill="1" applyBorder="1" applyAlignment="1" applyProtection="1">
      <alignment horizontal="center" vertical="center" wrapText="1"/>
      <protection hidden="1"/>
    </xf>
    <xf numFmtId="3" fontId="7" fillId="2" borderId="18" xfId="0" applyNumberFormat="1" applyFont="1" applyFill="1" applyBorder="1" applyAlignment="1" applyProtection="1">
      <alignment horizontal="center" vertical="center" wrapText="1"/>
      <protection hidden="1"/>
    </xf>
    <xf numFmtId="3" fontId="8" fillId="0" borderId="19" xfId="0" applyNumberFormat="1" applyFont="1" applyFill="1" applyBorder="1" applyProtection="1">
      <protection hidden="1"/>
    </xf>
    <xf numFmtId="3" fontId="8" fillId="0" borderId="20" xfId="0" applyNumberFormat="1" applyFont="1" applyFill="1" applyBorder="1" applyProtection="1">
      <protection hidden="1"/>
    </xf>
    <xf numFmtId="3" fontId="8" fillId="0" borderId="21" xfId="0" applyNumberFormat="1" applyFont="1" applyFill="1" applyBorder="1" applyProtection="1">
      <protection hidden="1"/>
    </xf>
    <xf numFmtId="3" fontId="8" fillId="0" borderId="22" xfId="0" applyNumberFormat="1" applyFont="1" applyFill="1" applyBorder="1" applyProtection="1">
      <protection hidden="1"/>
    </xf>
    <xf numFmtId="3" fontId="8" fillId="0" borderId="23" xfId="0" applyNumberFormat="1" applyFont="1" applyFill="1" applyBorder="1" applyProtection="1">
      <protection hidden="1"/>
    </xf>
    <xf numFmtId="3" fontId="7" fillId="0" borderId="0" xfId="0" applyNumberFormat="1" applyFont="1" applyFill="1" applyBorder="1" applyProtection="1">
      <protection hidden="1"/>
    </xf>
    <xf numFmtId="8" fontId="8" fillId="0" borderId="11" xfId="0" applyNumberFormat="1" applyFont="1" applyFill="1" applyBorder="1" applyProtection="1">
      <protection hidden="1"/>
    </xf>
    <xf numFmtId="8" fontId="8" fillId="0" borderId="24" xfId="0" applyNumberFormat="1" applyFont="1" applyFill="1" applyBorder="1" applyProtection="1">
      <protection hidden="1"/>
    </xf>
    <xf numFmtId="8" fontId="8" fillId="0" borderId="25" xfId="0" applyNumberFormat="1" applyFont="1" applyFill="1" applyBorder="1" applyProtection="1">
      <protection hidden="1"/>
    </xf>
    <xf numFmtId="8" fontId="8" fillId="0" borderId="26" xfId="0" applyNumberFormat="1" applyFont="1" applyFill="1" applyBorder="1" applyProtection="1">
      <protection hidden="1"/>
    </xf>
    <xf numFmtId="8" fontId="8" fillId="0" borderId="27" xfId="0" applyNumberFormat="1" applyFont="1" applyFill="1" applyBorder="1" applyProtection="1">
      <protection hidden="1"/>
    </xf>
    <xf numFmtId="8" fontId="8" fillId="0" borderId="28" xfId="0" applyNumberFormat="1" applyFont="1" applyFill="1" applyBorder="1" applyProtection="1">
      <protection hidden="1"/>
    </xf>
    <xf numFmtId="8" fontId="8" fillId="0" borderId="29" xfId="0" applyNumberFormat="1" applyFont="1" applyFill="1" applyBorder="1" applyProtection="1">
      <protection hidden="1"/>
    </xf>
    <xf numFmtId="8" fontId="8" fillId="0" borderId="15" xfId="0" applyNumberFormat="1" applyFont="1" applyFill="1" applyBorder="1" applyProtection="1">
      <protection hidden="1"/>
    </xf>
    <xf numFmtId="8" fontId="8" fillId="0" borderId="30" xfId="0" applyNumberFormat="1" applyFont="1" applyFill="1" applyBorder="1" applyProtection="1">
      <protection hidden="1"/>
    </xf>
    <xf numFmtId="8" fontId="8" fillId="0" borderId="31" xfId="0" applyNumberFormat="1" applyFont="1" applyFill="1" applyBorder="1" applyProtection="1">
      <protection hidden="1"/>
    </xf>
    <xf numFmtId="8" fontId="6" fillId="0" borderId="0" xfId="0" applyNumberFormat="1" applyFont="1" applyFill="1" applyBorder="1" applyProtection="1">
      <protection hidden="1"/>
    </xf>
    <xf numFmtId="8" fontId="8" fillId="0" borderId="0" xfId="0" applyNumberFormat="1" applyFont="1" applyFill="1" applyBorder="1" applyProtection="1">
      <protection hidden="1"/>
    </xf>
    <xf numFmtId="8" fontId="7" fillId="0" borderId="0" xfId="0" applyNumberFormat="1" applyFont="1" applyFill="1" applyBorder="1" applyAlignment="1" applyProtection="1">
      <alignment horizontal="center"/>
      <protection hidden="1"/>
    </xf>
    <xf numFmtId="8" fontId="7" fillId="2" borderId="7" xfId="0" applyNumberFormat="1" applyFont="1" applyFill="1" applyBorder="1" applyAlignment="1" applyProtection="1">
      <alignment horizontal="center" vertical="center" wrapText="1"/>
      <protection hidden="1"/>
    </xf>
    <xf numFmtId="8" fontId="7" fillId="2" borderId="16" xfId="0" applyNumberFormat="1" applyFont="1" applyFill="1" applyBorder="1" applyAlignment="1" applyProtection="1">
      <alignment horizontal="center" vertical="center" wrapText="1"/>
      <protection hidden="1"/>
    </xf>
    <xf numFmtId="8" fontId="7" fillId="2" borderId="18" xfId="0" applyNumberFormat="1" applyFont="1" applyFill="1" applyBorder="1" applyAlignment="1" applyProtection="1">
      <alignment horizontal="center" vertical="center" wrapText="1"/>
      <protection hidden="1"/>
    </xf>
    <xf numFmtId="8" fontId="7" fillId="2" borderId="17" xfId="0" applyNumberFormat="1" applyFont="1" applyFill="1" applyBorder="1" applyAlignment="1" applyProtection="1">
      <alignment horizontal="center" vertical="center" wrapText="1"/>
      <protection hidden="1"/>
    </xf>
    <xf numFmtId="8" fontId="0" fillId="0" borderId="0" xfId="0" applyNumberFormat="1" applyProtection="1">
      <protection hidden="1"/>
    </xf>
    <xf numFmtId="8" fontId="7" fillId="0" borderId="3" xfId="0" applyNumberFormat="1" applyFont="1" applyFill="1" applyBorder="1" applyProtection="1">
      <protection hidden="1"/>
    </xf>
    <xf numFmtId="8" fontId="7" fillId="0" borderId="4" xfId="0" applyNumberFormat="1" applyFont="1" applyFill="1" applyBorder="1" applyProtection="1">
      <protection hidden="1"/>
    </xf>
    <xf numFmtId="8" fontId="8" fillId="0" borderId="4" xfId="0" applyNumberFormat="1" applyFont="1" applyFill="1" applyBorder="1" applyProtection="1">
      <protection hidden="1"/>
    </xf>
    <xf numFmtId="8" fontId="7" fillId="0" borderId="5" xfId="0" applyNumberFormat="1" applyFont="1" applyFill="1" applyBorder="1" applyAlignment="1" applyProtection="1">
      <alignment horizontal="center"/>
      <protection hidden="1"/>
    </xf>
    <xf numFmtId="8" fontId="7" fillId="2" borderId="8" xfId="0" applyNumberFormat="1" applyFont="1" applyFill="1" applyBorder="1" applyAlignment="1" applyProtection="1">
      <alignment horizontal="center" vertical="center" wrapText="1"/>
      <protection hidden="1"/>
    </xf>
    <xf numFmtId="8" fontId="7" fillId="2" borderId="9" xfId="0" applyNumberFormat="1" applyFont="1" applyFill="1" applyBorder="1" applyAlignment="1" applyProtection="1">
      <alignment horizontal="center" vertical="center" wrapText="1"/>
      <protection hidden="1"/>
    </xf>
    <xf numFmtId="8" fontId="7" fillId="0" borderId="0" xfId="0" applyNumberFormat="1" applyFont="1" applyFill="1" applyBorder="1" applyAlignment="1" applyProtection="1">
      <alignment horizontal="center" vertical="center" wrapText="1"/>
      <protection hidden="1"/>
    </xf>
    <xf numFmtId="8" fontId="8" fillId="0" borderId="32" xfId="0" applyNumberFormat="1" applyFont="1" applyFill="1" applyBorder="1" applyProtection="1">
      <protection hidden="1"/>
    </xf>
    <xf numFmtId="8" fontId="8" fillId="0" borderId="33" xfId="0" applyNumberFormat="1" applyFont="1" applyFill="1" applyBorder="1" applyProtection="1">
      <protection hidden="1"/>
    </xf>
    <xf numFmtId="8" fontId="8" fillId="0" borderId="34" xfId="0" applyNumberFormat="1" applyFont="1" applyFill="1" applyBorder="1" applyProtection="1">
      <protection hidden="1"/>
    </xf>
    <xf numFmtId="8" fontId="8" fillId="0" borderId="35" xfId="0" applyNumberFormat="1" applyFont="1" applyFill="1" applyBorder="1" applyProtection="1">
      <protection hidden="1"/>
    </xf>
    <xf numFmtId="8" fontId="8" fillId="0" borderId="19" xfId="0" applyNumberFormat="1" applyFont="1" applyFill="1" applyBorder="1" applyProtection="1">
      <protection hidden="1"/>
    </xf>
    <xf numFmtId="8" fontId="8" fillId="0" borderId="36" xfId="0" applyNumberFormat="1" applyFont="1" applyFill="1" applyBorder="1" applyProtection="1">
      <protection hidden="1"/>
    </xf>
    <xf numFmtId="8" fontId="8" fillId="0" borderId="37" xfId="0" applyNumberFormat="1" applyFont="1" applyFill="1" applyBorder="1" applyProtection="1">
      <protection hidden="1"/>
    </xf>
    <xf numFmtId="8" fontId="8" fillId="0" borderId="38" xfId="0" applyNumberFormat="1" applyFont="1" applyFill="1" applyBorder="1" applyProtection="1">
      <protection hidden="1"/>
    </xf>
    <xf numFmtId="8" fontId="8" fillId="0" borderId="14" xfId="0" applyNumberFormat="1" applyFont="1" applyFill="1" applyBorder="1" applyProtection="1">
      <protection hidden="1"/>
    </xf>
    <xf numFmtId="8" fontId="8" fillId="0" borderId="20" xfId="0" applyNumberFormat="1" applyFont="1" applyFill="1" applyBorder="1" applyProtection="1">
      <protection hidden="1"/>
    </xf>
    <xf numFmtId="8" fontId="8" fillId="0" borderId="39" xfId="0" applyNumberFormat="1" applyFont="1" applyFill="1" applyBorder="1" applyProtection="1">
      <protection hidden="1"/>
    </xf>
    <xf numFmtId="8" fontId="8" fillId="0" borderId="40" xfId="0" applyNumberFormat="1" applyFont="1" applyFill="1" applyBorder="1" applyProtection="1">
      <protection hidden="1"/>
    </xf>
    <xf numFmtId="8" fontId="8" fillId="0" borderId="41" xfId="0" applyNumberFormat="1" applyFont="1" applyFill="1" applyBorder="1" applyProtection="1">
      <protection hidden="1"/>
    </xf>
    <xf numFmtId="8" fontId="8" fillId="0" borderId="42" xfId="0" applyNumberFormat="1" applyFont="1" applyFill="1" applyBorder="1" applyProtection="1">
      <protection hidden="1"/>
    </xf>
    <xf numFmtId="8" fontId="8" fillId="0" borderId="43" xfId="0" applyNumberFormat="1" applyFont="1" applyFill="1" applyBorder="1" applyProtection="1">
      <protection hidden="1"/>
    </xf>
    <xf numFmtId="8" fontId="8" fillId="0" borderId="21" xfId="0" applyNumberFormat="1" applyFont="1" applyFill="1" applyBorder="1" applyProtection="1">
      <protection hidden="1"/>
    </xf>
    <xf numFmtId="0" fontId="8" fillId="0" borderId="0" xfId="0" applyNumberFormat="1" applyFont="1" applyFill="1" applyBorder="1" applyProtection="1">
      <protection hidden="1"/>
    </xf>
    <xf numFmtId="0" fontId="7" fillId="0" borderId="0" xfId="0" applyNumberFormat="1" applyFont="1" applyFill="1" applyBorder="1" applyAlignment="1" applyProtection="1">
      <alignment horizontal="center"/>
      <protection hidden="1"/>
    </xf>
    <xf numFmtId="0" fontId="7" fillId="2" borderId="7" xfId="0"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hidden="1"/>
    </xf>
    <xf numFmtId="0" fontId="8" fillId="0" borderId="19" xfId="0" applyNumberFormat="1" applyFont="1" applyFill="1" applyBorder="1" applyProtection="1">
      <protection hidden="1"/>
    </xf>
    <xf numFmtId="0" fontId="8" fillId="0" borderId="20" xfId="0" applyNumberFormat="1" applyFont="1" applyFill="1" applyBorder="1" applyProtection="1">
      <protection hidden="1"/>
    </xf>
    <xf numFmtId="0" fontId="8" fillId="0" borderId="21" xfId="0" applyNumberFormat="1" applyFont="1" applyFill="1" applyBorder="1" applyProtection="1">
      <protection hidden="1"/>
    </xf>
    <xf numFmtId="3" fontId="8" fillId="0" borderId="0" xfId="0" applyNumberFormat="1" applyFont="1" applyBorder="1"/>
    <xf numFmtId="3" fontId="7" fillId="0" borderId="0" xfId="0" applyNumberFormat="1" applyFont="1" applyBorder="1"/>
    <xf numFmtId="3" fontId="7" fillId="0" borderId="0" xfId="0" applyNumberFormat="1" applyFont="1" applyAlignment="1">
      <alignment horizontal="center"/>
    </xf>
    <xf numFmtId="3" fontId="7" fillId="0" borderId="0" xfId="0" applyNumberFormat="1" applyFont="1" applyBorder="1" applyAlignment="1">
      <alignment horizontal="center"/>
    </xf>
    <xf numFmtId="3" fontId="7" fillId="0" borderId="0" xfId="0" applyNumberFormat="1" applyFont="1" applyAlignment="1">
      <alignment horizontal="center" vertical="center"/>
    </xf>
    <xf numFmtId="3" fontId="8" fillId="0" borderId="0" xfId="0" applyNumberFormat="1" applyFont="1" applyAlignment="1">
      <alignment horizontal="right"/>
    </xf>
    <xf numFmtId="166" fontId="8" fillId="0" borderId="0" xfId="5" applyNumberFormat="1" applyFont="1"/>
    <xf numFmtId="3" fontId="8" fillId="0" borderId="0" xfId="0" applyNumberFormat="1" applyFont="1" applyAlignment="1">
      <alignment vertical="center"/>
    </xf>
    <xf numFmtId="0" fontId="8" fillId="0" borderId="0" xfId="0" applyFont="1" applyProtection="1">
      <protection hidden="1"/>
    </xf>
    <xf numFmtId="0" fontId="6" fillId="0" borderId="0" xfId="0" applyNumberFormat="1" applyFont="1" applyFill="1" applyBorder="1" applyProtection="1">
      <protection hidden="1"/>
    </xf>
    <xf numFmtId="0" fontId="8" fillId="0" borderId="4" xfId="0" applyNumberFormat="1" applyFont="1" applyFill="1" applyBorder="1" applyProtection="1">
      <protection hidden="1"/>
    </xf>
    <xf numFmtId="0" fontId="8" fillId="0" borderId="10" xfId="0" applyNumberFormat="1" applyFont="1" applyFill="1" applyBorder="1" applyAlignment="1" applyProtection="1">
      <alignment horizontal="center"/>
      <protection hidden="1"/>
    </xf>
    <xf numFmtId="0" fontId="8" fillId="0" borderId="12" xfId="0" applyNumberFormat="1" applyFont="1" applyFill="1" applyBorder="1" applyAlignment="1" applyProtection="1">
      <alignment horizontal="center"/>
      <protection hidden="1"/>
    </xf>
    <xf numFmtId="0" fontId="8" fillId="0" borderId="13" xfId="0" applyNumberFormat="1" applyFont="1" applyFill="1" applyBorder="1" applyAlignment="1" applyProtection="1">
      <alignment horizontal="center"/>
      <protection hidden="1"/>
    </xf>
    <xf numFmtId="0" fontId="8" fillId="0" borderId="15" xfId="0" applyNumberFormat="1" applyFont="1" applyFill="1" applyBorder="1" applyAlignment="1" applyProtection="1">
      <alignment horizontal="center"/>
      <protection hidden="1"/>
    </xf>
    <xf numFmtId="3" fontId="7" fillId="0" borderId="0" xfId="0" applyNumberFormat="1" applyFont="1" applyBorder="1" applyAlignment="1">
      <alignment vertical="center"/>
    </xf>
    <xf numFmtId="8" fontId="0" fillId="0" borderId="0" xfId="0" applyNumberFormat="1" applyProtection="1">
      <protection locked="0"/>
    </xf>
    <xf numFmtId="8" fontId="8" fillId="0" borderId="0" xfId="0" applyNumberFormat="1" applyFont="1" applyFill="1" applyBorder="1" applyProtection="1">
      <protection locked="0"/>
    </xf>
    <xf numFmtId="0" fontId="8" fillId="0" borderId="0" xfId="0" applyFont="1" applyProtection="1">
      <protection locked="0"/>
    </xf>
    <xf numFmtId="3" fontId="8" fillId="0" borderId="0" xfId="0" applyNumberFormat="1" applyFont="1" applyProtection="1">
      <protection locked="0"/>
    </xf>
    <xf numFmtId="3" fontId="7" fillId="2" borderId="5" xfId="0" applyNumberFormat="1" applyFont="1" applyFill="1" applyBorder="1" applyProtection="1">
      <protection hidden="1"/>
    </xf>
    <xf numFmtId="8" fontId="8" fillId="0" borderId="44" xfId="0" applyNumberFormat="1" applyFont="1" applyFill="1" applyBorder="1" applyProtection="1">
      <protection hidden="1"/>
    </xf>
    <xf numFmtId="168" fontId="7" fillId="0" borderId="5" xfId="0" applyNumberFormat="1" applyFont="1" applyFill="1" applyBorder="1" applyAlignment="1" applyProtection="1">
      <alignment horizontal="center"/>
    </xf>
    <xf numFmtId="7" fontId="7" fillId="0" borderId="45" xfId="0" applyNumberFormat="1" applyFont="1" applyFill="1" applyBorder="1" applyProtection="1"/>
    <xf numFmtId="0" fontId="7" fillId="2" borderId="11" xfId="0" applyNumberFormat="1" applyFont="1" applyFill="1" applyBorder="1" applyProtection="1">
      <protection hidden="1"/>
    </xf>
    <xf numFmtId="0" fontId="7" fillId="2" borderId="23" xfId="0" applyNumberFormat="1" applyFont="1" applyFill="1" applyBorder="1" applyProtection="1">
      <protection hidden="1"/>
    </xf>
    <xf numFmtId="0" fontId="7" fillId="2" borderId="46" xfId="0" applyNumberFormat="1" applyFont="1" applyFill="1" applyBorder="1" applyProtection="1">
      <protection hidden="1"/>
    </xf>
    <xf numFmtId="166" fontId="7" fillId="0" borderId="47" xfId="0" applyNumberFormat="1" applyFont="1" applyFill="1" applyBorder="1" applyProtection="1"/>
    <xf numFmtId="168" fontId="7" fillId="0" borderId="47" xfId="0" applyNumberFormat="1" applyFont="1" applyFill="1" applyBorder="1" applyProtection="1"/>
    <xf numFmtId="168" fontId="7" fillId="0" borderId="48" xfId="0" applyNumberFormat="1" applyFont="1" applyFill="1" applyBorder="1" applyProtection="1"/>
    <xf numFmtId="7" fontId="7" fillId="0" borderId="49" xfId="0" applyNumberFormat="1" applyFont="1" applyFill="1" applyBorder="1" applyProtection="1"/>
    <xf numFmtId="7" fontId="7" fillId="0" borderId="50" xfId="0" applyNumberFormat="1" applyFont="1" applyFill="1" applyBorder="1" applyProtection="1"/>
    <xf numFmtId="7" fontId="7" fillId="0" borderId="51" xfId="0" applyNumberFormat="1" applyFont="1" applyFill="1" applyBorder="1" applyProtection="1"/>
    <xf numFmtId="0" fontId="13" fillId="0" borderId="0" xfId="0" applyFont="1"/>
    <xf numFmtId="173" fontId="8" fillId="0" borderId="24" xfId="0" applyNumberFormat="1" applyFont="1" applyFill="1" applyBorder="1" applyProtection="1">
      <protection hidden="1"/>
    </xf>
    <xf numFmtId="173" fontId="8" fillId="0" borderId="26" xfId="0" applyNumberFormat="1" applyFont="1" applyFill="1" applyBorder="1" applyProtection="1">
      <protection hidden="1"/>
    </xf>
    <xf numFmtId="8" fontId="7" fillId="4" borderId="45" xfId="0" applyNumberFormat="1" applyFont="1" applyFill="1" applyBorder="1" applyProtection="1"/>
    <xf numFmtId="166" fontId="7" fillId="4" borderId="47" xfId="0" applyNumberFormat="1" applyFont="1" applyFill="1" applyBorder="1" applyProtection="1"/>
    <xf numFmtId="3" fontId="7" fillId="4" borderId="47" xfId="0" applyNumberFormat="1" applyFont="1" applyFill="1" applyBorder="1" applyProtection="1"/>
    <xf numFmtId="10" fontId="7" fillId="4" borderId="48" xfId="0" applyNumberFormat="1" applyFont="1" applyFill="1" applyBorder="1" applyProtection="1"/>
    <xf numFmtId="3" fontId="7" fillId="4" borderId="52" xfId="0" applyNumberFormat="1" applyFont="1" applyFill="1" applyBorder="1" applyAlignment="1" applyProtection="1">
      <alignment horizontal="center"/>
    </xf>
    <xf numFmtId="3" fontId="7" fillId="4" borderId="5" xfId="0" applyNumberFormat="1" applyFont="1" applyFill="1" applyBorder="1" applyAlignment="1" applyProtection="1">
      <alignment horizontal="center"/>
    </xf>
    <xf numFmtId="1" fontId="7" fillId="4" borderId="47" xfId="0" applyNumberFormat="1" applyFont="1" applyFill="1" applyBorder="1" applyProtection="1"/>
    <xf numFmtId="3" fontId="8" fillId="4" borderId="0" xfId="0" applyNumberFormat="1" applyFont="1" applyFill="1" applyBorder="1" applyProtection="1">
      <protection hidden="1"/>
    </xf>
    <xf numFmtId="3" fontId="14" fillId="0" borderId="0" xfId="0" applyNumberFormat="1" applyFont="1"/>
    <xf numFmtId="174" fontId="15" fillId="0" borderId="0" xfId="0" applyNumberFormat="1" applyFont="1" applyFill="1" applyBorder="1"/>
    <xf numFmtId="0" fontId="15" fillId="0" borderId="0" xfId="0" applyFont="1" applyFill="1" applyAlignment="1" applyProtection="1">
      <alignment horizontal="left"/>
      <protection locked="0"/>
    </xf>
    <xf numFmtId="0" fontId="13" fillId="0" borderId="0" xfId="0" applyFont="1" applyFill="1"/>
    <xf numFmtId="3" fontId="8" fillId="0" borderId="0" xfId="0" applyNumberFormat="1" applyFont="1" applyFill="1"/>
    <xf numFmtId="0" fontId="18" fillId="0" borderId="0" xfId="0" applyFont="1"/>
    <xf numFmtId="173" fontId="8" fillId="0" borderId="30" xfId="0" applyNumberFormat="1" applyFont="1" applyFill="1" applyBorder="1" applyProtection="1">
      <protection hidden="1"/>
    </xf>
    <xf numFmtId="173" fontId="8" fillId="0" borderId="36" xfId="0" applyNumberFormat="1" applyFont="1" applyFill="1" applyBorder="1" applyProtection="1">
      <protection hidden="1"/>
    </xf>
    <xf numFmtId="8" fontId="7" fillId="0" borderId="53" xfId="0" applyNumberFormat="1" applyFont="1" applyFill="1" applyBorder="1" applyProtection="1"/>
    <xf numFmtId="166" fontId="7" fillId="0" borderId="54" xfId="0" applyNumberFormat="1" applyFont="1" applyFill="1" applyBorder="1" applyProtection="1"/>
    <xf numFmtId="168" fontId="7" fillId="0" borderId="54" xfId="0" applyNumberFormat="1" applyFont="1" applyFill="1" applyBorder="1" applyProtection="1"/>
    <xf numFmtId="168" fontId="7" fillId="0" borderId="55" xfId="0" applyNumberFormat="1" applyFont="1" applyFill="1" applyBorder="1" applyProtection="1"/>
    <xf numFmtId="4" fontId="23" fillId="0" borderId="0" xfId="0" applyNumberFormat="1" applyFont="1" applyFill="1" applyBorder="1" applyAlignment="1" applyProtection="1">
      <alignment horizontal="center" vertical="center"/>
      <protection hidden="1"/>
    </xf>
    <xf numFmtId="3" fontId="17" fillId="0" borderId="0" xfId="0" applyNumberFormat="1" applyFont="1" applyAlignment="1">
      <alignment horizontal="right"/>
    </xf>
    <xf numFmtId="3" fontId="17" fillId="0" borderId="0" xfId="0" applyNumberFormat="1" applyFont="1" applyAlignment="1">
      <alignment horizontal="right" vertical="center"/>
    </xf>
    <xf numFmtId="2" fontId="16" fillId="0" borderId="56" xfId="0" applyNumberFormat="1" applyFont="1" applyFill="1" applyBorder="1" applyAlignment="1" applyProtection="1">
      <alignment horizontal="center" vertical="center"/>
      <protection hidden="1"/>
    </xf>
    <xf numFmtId="2" fontId="16" fillId="0" borderId="57" xfId="0" applyNumberFormat="1" applyFont="1" applyFill="1" applyBorder="1" applyAlignment="1" applyProtection="1">
      <alignment horizontal="center" vertical="center"/>
      <protection hidden="1"/>
    </xf>
    <xf numFmtId="2" fontId="16" fillId="0" borderId="58" xfId="0" applyNumberFormat="1" applyFont="1" applyFill="1" applyBorder="1" applyAlignment="1" applyProtection="1">
      <alignment horizontal="center" vertical="center"/>
      <protection hidden="1"/>
    </xf>
    <xf numFmtId="169" fontId="16" fillId="0" borderId="57" xfId="5" applyNumberFormat="1" applyFont="1" applyFill="1" applyBorder="1" applyAlignment="1" applyProtection="1">
      <alignment horizontal="center" vertical="center"/>
      <protection hidden="1"/>
    </xf>
    <xf numFmtId="4" fontId="16" fillId="0" borderId="5" xfId="0" applyNumberFormat="1" applyFont="1" applyFill="1" applyBorder="1" applyAlignment="1" applyProtection="1">
      <alignment horizontal="center" vertical="center"/>
      <protection hidden="1"/>
    </xf>
    <xf numFmtId="4" fontId="16" fillId="0" borderId="5" xfId="0" applyNumberFormat="1" applyFont="1" applyBorder="1" applyAlignment="1" applyProtection="1">
      <alignment horizontal="center" vertical="center"/>
      <protection hidden="1"/>
    </xf>
    <xf numFmtId="0" fontId="7" fillId="0" borderId="0" xfId="0" applyFont="1" applyAlignment="1">
      <alignment horizontal="center"/>
    </xf>
    <xf numFmtId="0" fontId="8" fillId="0" borderId="0" xfId="0" applyFont="1" applyAlignment="1" applyProtection="1">
      <alignment vertical="center"/>
      <protection hidden="1"/>
    </xf>
    <xf numFmtId="0" fontId="3" fillId="0" borderId="0" xfId="0" applyFont="1" applyAlignment="1">
      <alignment horizontal="left"/>
    </xf>
    <xf numFmtId="0" fontId="24" fillId="0" borderId="0" xfId="0" applyFont="1" applyAlignment="1">
      <alignment horizontal="left"/>
    </xf>
    <xf numFmtId="0" fontId="25" fillId="0" borderId="0" xfId="0" applyFont="1" applyAlignment="1">
      <alignment horizontal="left"/>
    </xf>
    <xf numFmtId="10" fontId="16" fillId="0" borderId="56" xfId="5" applyNumberFormat="1" applyFont="1" applyFill="1" applyBorder="1" applyAlignment="1" applyProtection="1">
      <alignment horizontal="center" vertical="center"/>
      <protection hidden="1"/>
    </xf>
    <xf numFmtId="0" fontId="0" fillId="0" borderId="0" xfId="0" applyBorder="1" applyAlignment="1">
      <alignment wrapText="1"/>
    </xf>
    <xf numFmtId="4" fontId="16" fillId="0" borderId="0" xfId="0" applyNumberFormat="1" applyFont="1" applyFill="1" applyBorder="1" applyAlignment="1" applyProtection="1">
      <alignment horizontal="center" vertical="center"/>
      <protection hidden="1"/>
    </xf>
    <xf numFmtId="4" fontId="16" fillId="0" borderId="59" xfId="0" applyNumberFormat="1" applyFont="1" applyFill="1" applyBorder="1" applyAlignment="1" applyProtection="1">
      <alignment horizontal="center" vertical="center"/>
      <protection hidden="1"/>
    </xf>
    <xf numFmtId="10" fontId="16" fillId="0" borderId="5" xfId="0" applyNumberFormat="1" applyFont="1" applyFill="1" applyBorder="1" applyAlignment="1" applyProtection="1">
      <alignment horizontal="center" vertical="center"/>
      <protection hidden="1"/>
    </xf>
    <xf numFmtId="166" fontId="103" fillId="0" borderId="0" xfId="0" applyNumberFormat="1" applyFont="1" applyFill="1" applyBorder="1" applyAlignment="1">
      <alignment horizontal="center"/>
    </xf>
    <xf numFmtId="166" fontId="104" fillId="0" borderId="0" xfId="0" applyNumberFormat="1" applyFont="1" applyFill="1" applyBorder="1" applyAlignment="1">
      <alignment horizontal="center"/>
    </xf>
    <xf numFmtId="177" fontId="105" fillId="5" borderId="0" xfId="0" applyNumberFormat="1" applyFont="1" applyFill="1" applyBorder="1" applyAlignment="1">
      <alignment horizontal="center"/>
    </xf>
    <xf numFmtId="0" fontId="107" fillId="0" borderId="60" xfId="0" applyFont="1" applyBorder="1" applyAlignment="1">
      <alignment horizontal="left"/>
    </xf>
    <xf numFmtId="0" fontId="3" fillId="0" borderId="61" xfId="0" applyFont="1" applyBorder="1" applyAlignment="1">
      <alignment horizontal="left"/>
    </xf>
    <xf numFmtId="0" fontId="3" fillId="0" borderId="62" xfId="0" applyFont="1" applyBorder="1" applyAlignment="1">
      <alignment horizontal="left"/>
    </xf>
    <xf numFmtId="0" fontId="105" fillId="0" borderId="63" xfId="0" applyFont="1" applyBorder="1" applyAlignment="1">
      <alignment horizontal="left"/>
    </xf>
    <xf numFmtId="166" fontId="108" fillId="0" borderId="64" xfId="0" applyNumberFormat="1" applyFont="1" applyBorder="1" applyAlignment="1">
      <alignment horizontal="center"/>
    </xf>
    <xf numFmtId="0" fontId="109" fillId="6" borderId="63" xfId="0" applyFont="1" applyFill="1" applyBorder="1" applyAlignment="1">
      <alignment horizontal="left"/>
    </xf>
    <xf numFmtId="177" fontId="110" fillId="0" borderId="64" xfId="0" applyNumberFormat="1" applyFont="1" applyBorder="1" applyAlignment="1">
      <alignment horizontal="center"/>
    </xf>
    <xf numFmtId="0" fontId="4" fillId="0" borderId="63" xfId="0" applyFont="1" applyFill="1" applyBorder="1" applyAlignment="1">
      <alignment horizontal="left"/>
    </xf>
    <xf numFmtId="177" fontId="110" fillId="0" borderId="64" xfId="0" applyNumberFormat="1" applyFont="1" applyFill="1" applyBorder="1" applyAlignment="1">
      <alignment horizontal="center"/>
    </xf>
    <xf numFmtId="0" fontId="106" fillId="0" borderId="63" xfId="0" applyFont="1" applyBorder="1" applyAlignment="1">
      <alignment horizontal="left"/>
    </xf>
    <xf numFmtId="166" fontId="111" fillId="0" borderId="64" xfId="0" applyNumberFormat="1" applyFont="1" applyBorder="1" applyAlignment="1">
      <alignment horizontal="center"/>
    </xf>
    <xf numFmtId="0" fontId="112" fillId="0" borderId="65" xfId="0" applyFont="1" applyBorder="1" applyAlignment="1">
      <alignment horizontal="left"/>
    </xf>
    <xf numFmtId="177" fontId="112" fillId="0" borderId="66" xfId="0" applyNumberFormat="1" applyFont="1" applyBorder="1" applyAlignment="1">
      <alignment horizontal="left"/>
    </xf>
    <xf numFmtId="10" fontId="112" fillId="0" borderId="67" xfId="0" applyNumberFormat="1" applyFont="1" applyBorder="1" applyAlignment="1">
      <alignment horizontal="center"/>
    </xf>
    <xf numFmtId="0" fontId="113" fillId="2" borderId="63" xfId="0" applyFont="1" applyFill="1" applyBorder="1" applyAlignment="1">
      <alignment horizontal="left"/>
    </xf>
    <xf numFmtId="177" fontId="112" fillId="0" borderId="64" xfId="0" applyNumberFormat="1" applyFont="1" applyBorder="1" applyAlignment="1">
      <alignment horizontal="center"/>
    </xf>
    <xf numFmtId="177" fontId="112" fillId="0" borderId="64" xfId="0" applyNumberFormat="1" applyFont="1" applyFill="1" applyBorder="1" applyAlignment="1">
      <alignment horizontal="center"/>
    </xf>
    <xf numFmtId="0" fontId="110" fillId="0" borderId="65" xfId="0" applyFont="1" applyBorder="1" applyAlignment="1">
      <alignment horizontal="left"/>
    </xf>
    <xf numFmtId="177" fontId="110" fillId="0" borderId="66" xfId="0" applyNumberFormat="1" applyFont="1" applyBorder="1" applyAlignment="1">
      <alignment horizontal="center"/>
    </xf>
    <xf numFmtId="166" fontId="110" fillId="0" borderId="67" xfId="0" applyNumberFormat="1" applyFont="1" applyBorder="1" applyAlignment="1">
      <alignment horizontal="center"/>
    </xf>
    <xf numFmtId="169" fontId="16" fillId="0" borderId="0" xfId="5" applyNumberFormat="1" applyFont="1" applyFill="1" applyBorder="1" applyAlignment="1" applyProtection="1">
      <alignment horizontal="center" vertical="center"/>
      <protection hidden="1"/>
    </xf>
    <xf numFmtId="2" fontId="16"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wrapText="1"/>
      <protection hidden="1"/>
    </xf>
    <xf numFmtId="0" fontId="6" fillId="0" borderId="0" xfId="0" applyFont="1" applyFill="1" applyBorder="1" applyAlignment="1" applyProtection="1">
      <alignment wrapText="1"/>
      <protection hidden="1"/>
    </xf>
    <xf numFmtId="0" fontId="6" fillId="0" borderId="0" xfId="0" applyFont="1" applyFill="1" applyBorder="1" applyAlignment="1" applyProtection="1">
      <alignment horizontal="center" wrapText="1"/>
      <protection hidden="1"/>
    </xf>
    <xf numFmtId="0" fontId="8" fillId="0" borderId="0" xfId="0" applyFont="1" applyAlignment="1" applyProtection="1">
      <alignment wrapText="1"/>
      <protection hidden="1"/>
    </xf>
    <xf numFmtId="0" fontId="8" fillId="0" borderId="0" xfId="0" applyFont="1" applyFill="1" applyAlignment="1" applyProtection="1">
      <alignment wrapText="1"/>
      <protection hidden="1"/>
    </xf>
    <xf numFmtId="167" fontId="7" fillId="0" borderId="0" xfId="0" applyNumberFormat="1" applyFont="1" applyFill="1" applyAlignment="1" applyProtection="1">
      <alignment horizontal="centerContinuous"/>
      <protection hidden="1"/>
    </xf>
    <xf numFmtId="3" fontId="7" fillId="0" borderId="0" xfId="0" applyNumberFormat="1" applyFont="1" applyFill="1" applyProtection="1">
      <protection hidden="1"/>
    </xf>
    <xf numFmtId="1" fontId="15" fillId="0" borderId="0" xfId="0" applyNumberFormat="1" applyFont="1" applyFill="1" applyBorder="1" applyAlignment="1" applyProtection="1">
      <alignment horizontal="center" vertical="center"/>
      <protection hidden="1"/>
    </xf>
    <xf numFmtId="0" fontId="8" fillId="0" borderId="0" xfId="0" applyFont="1" applyFill="1" applyAlignment="1" applyProtection="1">
      <alignment vertical="center"/>
      <protection hidden="1"/>
    </xf>
    <xf numFmtId="3" fontId="15" fillId="0" borderId="4" xfId="0" applyNumberFormat="1" applyFont="1" applyBorder="1" applyAlignment="1" applyProtection="1">
      <alignment vertical="center" wrapText="1"/>
      <protection hidden="1"/>
    </xf>
    <xf numFmtId="169" fontId="16" fillId="0" borderId="4" xfId="5" applyNumberFormat="1" applyFont="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3" fontId="15" fillId="0" borderId="4" xfId="0" applyNumberFormat="1" applyFont="1" applyFill="1" applyBorder="1" applyAlignment="1" applyProtection="1">
      <alignment vertical="center" wrapText="1"/>
      <protection hidden="1"/>
    </xf>
    <xf numFmtId="0" fontId="16" fillId="0" borderId="4" xfId="0" applyFont="1" applyBorder="1" applyAlignment="1" applyProtection="1">
      <alignment vertical="center"/>
      <protection hidden="1"/>
    </xf>
    <xf numFmtId="0" fontId="8" fillId="0" borderId="0" xfId="0" applyFont="1" applyBorder="1" applyAlignment="1" applyProtection="1">
      <alignment vertical="center"/>
      <protection hidden="1"/>
    </xf>
    <xf numFmtId="170" fontId="23" fillId="0" borderId="68" xfId="0" applyNumberFormat="1" applyFont="1" applyBorder="1" applyAlignment="1" applyProtection="1">
      <alignment horizontal="center" vertical="center"/>
      <protection hidden="1"/>
    </xf>
    <xf numFmtId="170" fontId="16" fillId="0" borderId="68" xfId="0" applyNumberFormat="1" applyFont="1" applyFill="1" applyBorder="1" applyAlignment="1" applyProtection="1">
      <alignment horizontal="center" vertical="center"/>
      <protection hidden="1"/>
    </xf>
    <xf numFmtId="170" fontId="23" fillId="0" borderId="69" xfId="0" applyNumberFormat="1" applyFont="1" applyFill="1" applyBorder="1" applyAlignment="1" applyProtection="1">
      <alignment horizontal="center" vertical="center"/>
      <protection hidden="1"/>
    </xf>
    <xf numFmtId="170" fontId="16" fillId="0" borderId="69" xfId="0" applyNumberFormat="1" applyFont="1" applyFill="1" applyBorder="1" applyAlignment="1" applyProtection="1">
      <alignment horizontal="center" vertical="center"/>
      <protection hidden="1"/>
    </xf>
    <xf numFmtId="3" fontId="15" fillId="0" borderId="0" xfId="0" applyNumberFormat="1" applyFont="1" applyBorder="1" applyAlignment="1" applyProtection="1">
      <alignment horizontal="left" vertical="center" wrapText="1"/>
      <protection hidden="1"/>
    </xf>
    <xf numFmtId="170" fontId="16" fillId="0" borderId="0" xfId="0" applyNumberFormat="1" applyFont="1" applyFill="1" applyBorder="1" applyAlignment="1" applyProtection="1">
      <alignment horizontal="center" vertical="center"/>
      <protection hidden="1"/>
    </xf>
    <xf numFmtId="1" fontId="8" fillId="0" borderId="0" xfId="0" applyNumberFormat="1" applyFont="1" applyProtection="1">
      <protection hidden="1"/>
    </xf>
    <xf numFmtId="3" fontId="15" fillId="0" borderId="0" xfId="0" applyNumberFormat="1" applyFont="1" applyFill="1" applyBorder="1" applyAlignment="1" applyProtection="1">
      <alignment horizontal="left" vertical="center" wrapText="1"/>
      <protection hidden="1"/>
    </xf>
    <xf numFmtId="3" fontId="15" fillId="0" borderId="0" xfId="0" applyNumberFormat="1" applyFont="1" applyFill="1" applyBorder="1" applyAlignment="1" applyProtection="1">
      <alignment vertical="center" wrapText="1"/>
      <protection hidden="1"/>
    </xf>
    <xf numFmtId="3" fontId="15" fillId="0" borderId="70" xfId="0" applyNumberFormat="1" applyFont="1" applyFill="1" applyBorder="1" applyAlignment="1" applyProtection="1">
      <alignment horizontal="left" vertical="center" wrapText="1"/>
      <protection hidden="1"/>
    </xf>
    <xf numFmtId="0" fontId="16" fillId="0" borderId="71" xfId="0" applyFont="1" applyBorder="1" applyAlignment="1" applyProtection="1">
      <alignment vertical="center" wrapText="1"/>
      <protection hidden="1"/>
    </xf>
    <xf numFmtId="0" fontId="16" fillId="0" borderId="0" xfId="0" applyFont="1" applyAlignment="1" applyProtection="1">
      <alignment vertical="center" wrapText="1"/>
      <protection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0" xfId="0" applyFont="1" applyProtection="1">
      <protection hidden="1"/>
    </xf>
    <xf numFmtId="0" fontId="8" fillId="0" borderId="83" xfId="0" applyNumberFormat="1" applyFont="1" applyFill="1" applyBorder="1" applyAlignment="1" applyProtection="1">
      <alignment horizontal="center"/>
      <protection hidden="1"/>
    </xf>
    <xf numFmtId="8" fontId="8" fillId="0" borderId="84" xfId="0" applyNumberFormat="1" applyFont="1" applyFill="1" applyBorder="1" applyProtection="1">
      <protection hidden="1"/>
    </xf>
    <xf numFmtId="8" fontId="8" fillId="0" borderId="85" xfId="0" applyNumberFormat="1" applyFont="1" applyFill="1" applyBorder="1" applyProtection="1">
      <protection hidden="1"/>
    </xf>
    <xf numFmtId="0" fontId="8" fillId="0" borderId="86" xfId="0" applyNumberFormat="1" applyFont="1" applyFill="1" applyBorder="1" applyAlignment="1" applyProtection="1">
      <alignment horizontal="center"/>
      <protection hidden="1"/>
    </xf>
    <xf numFmtId="8" fontId="8" fillId="0" borderId="87" xfId="0" applyNumberFormat="1" applyFont="1" applyFill="1" applyBorder="1" applyProtection="1">
      <protection hidden="1"/>
    </xf>
    <xf numFmtId="8" fontId="8" fillId="0" borderId="75" xfId="0" applyNumberFormat="1" applyFont="1" applyFill="1" applyBorder="1" applyProtection="1">
      <protection hidden="1"/>
    </xf>
    <xf numFmtId="8" fontId="8" fillId="0" borderId="88" xfId="0" applyNumberFormat="1" applyFont="1" applyFill="1" applyBorder="1" applyProtection="1">
      <protection hidden="1"/>
    </xf>
    <xf numFmtId="8" fontId="8" fillId="0" borderId="86" xfId="0" applyNumberFormat="1" applyFont="1" applyFill="1" applyBorder="1" applyProtection="1">
      <protection hidden="1"/>
    </xf>
    <xf numFmtId="8" fontId="8" fillId="0" borderId="12" xfId="0" applyNumberFormat="1" applyFont="1" applyFill="1" applyBorder="1" applyProtection="1">
      <protection hidden="1"/>
    </xf>
    <xf numFmtId="8" fontId="8" fillId="0" borderId="89" xfId="0" applyNumberFormat="1" applyFont="1" applyFill="1" applyBorder="1" applyProtection="1">
      <protection hidden="1"/>
    </xf>
    <xf numFmtId="1" fontId="7" fillId="3" borderId="15" xfId="0" applyNumberFormat="1" applyFont="1" applyFill="1" applyBorder="1" applyAlignment="1" applyProtection="1">
      <alignment horizontal="center"/>
      <protection hidden="1"/>
    </xf>
    <xf numFmtId="0" fontId="0" fillId="0" borderId="0" xfId="0" applyBorder="1"/>
    <xf numFmtId="10" fontId="7" fillId="0" borderId="50" xfId="0" applyNumberFormat="1" applyFont="1" applyFill="1" applyBorder="1" applyProtection="1"/>
    <xf numFmtId="8" fontId="8" fillId="8" borderId="90" xfId="0" applyNumberFormat="1" applyFont="1" applyFill="1" applyBorder="1" applyProtection="1"/>
    <xf numFmtId="8" fontId="8" fillId="8" borderId="32" xfId="0" applyNumberFormat="1" applyFont="1" applyFill="1" applyBorder="1" applyProtection="1">
      <protection hidden="1"/>
    </xf>
    <xf numFmtId="0" fontId="114" fillId="0" borderId="0" xfId="0" applyFont="1" applyFill="1" applyBorder="1" applyProtection="1"/>
    <xf numFmtId="3" fontId="7" fillId="0" borderId="0" xfId="0" applyNumberFormat="1" applyFont="1" applyFill="1" applyBorder="1" applyAlignment="1" applyProtection="1">
      <alignment horizontal="center" vertical="center" textRotation="90"/>
      <protection hidden="1"/>
    </xf>
    <xf numFmtId="3" fontId="7" fillId="0" borderId="0" xfId="0" applyNumberFormat="1" applyFont="1" applyFill="1" applyBorder="1" applyAlignment="1">
      <alignment vertical="center"/>
    </xf>
    <xf numFmtId="3" fontId="15" fillId="0" borderId="0" xfId="0" applyNumberFormat="1" applyFont="1" applyFill="1" applyBorder="1" applyAlignment="1">
      <alignment horizontal="center" vertical="center"/>
    </xf>
    <xf numFmtId="3" fontId="115" fillId="0" borderId="0" xfId="0" applyNumberFormat="1" applyFont="1" applyFill="1" applyBorder="1" applyAlignment="1" applyProtection="1">
      <alignment horizontal="left"/>
      <protection locked="0"/>
    </xf>
    <xf numFmtId="3" fontId="116" fillId="0" borderId="0" xfId="0" applyNumberFormat="1" applyFont="1" applyFill="1" applyBorder="1" applyAlignment="1">
      <alignment horizontal="center" vertical="center"/>
    </xf>
    <xf numFmtId="174" fontId="116" fillId="0" borderId="0" xfId="0" applyNumberFormat="1" applyFont="1" applyFill="1" applyBorder="1"/>
    <xf numFmtId="0" fontId="0" fillId="4" borderId="0" xfId="0" applyFill="1"/>
    <xf numFmtId="49" fontId="8" fillId="0" borderId="0" xfId="0" applyNumberFormat="1" applyFont="1"/>
    <xf numFmtId="8" fontId="5" fillId="2" borderId="0" xfId="0" applyNumberFormat="1" applyFont="1" applyFill="1" applyBorder="1" applyAlignment="1" applyProtection="1">
      <alignment horizontal="center" vertical="center" wrapText="1"/>
      <protection hidden="1"/>
    </xf>
    <xf numFmtId="8" fontId="117" fillId="0" borderId="0" xfId="0" applyNumberFormat="1" applyFont="1" applyFill="1" applyBorder="1" applyProtection="1">
      <protection hidden="1"/>
    </xf>
    <xf numFmtId="0" fontId="118" fillId="0" borderId="0" xfId="0" applyFont="1"/>
    <xf numFmtId="8" fontId="118" fillId="0" borderId="0" xfId="0" applyNumberFormat="1" applyFont="1"/>
    <xf numFmtId="4" fontId="118" fillId="0" borderId="0" xfId="0" applyNumberFormat="1" applyFont="1"/>
    <xf numFmtId="3" fontId="8" fillId="0" borderId="91" xfId="0" applyNumberFormat="1" applyFont="1" applyFill="1" applyBorder="1" applyProtection="1">
      <protection hidden="1"/>
    </xf>
    <xf numFmtId="3" fontId="8" fillId="0" borderId="92" xfId="0" applyNumberFormat="1" applyFont="1" applyFill="1" applyBorder="1" applyProtection="1">
      <protection hidden="1"/>
    </xf>
    <xf numFmtId="8" fontId="7" fillId="2" borderId="93" xfId="0" applyNumberFormat="1" applyFont="1" applyFill="1" applyBorder="1" applyAlignment="1" applyProtection="1">
      <alignment horizontal="center" vertical="center" wrapText="1"/>
      <protection hidden="1"/>
    </xf>
    <xf numFmtId="0" fontId="0" fillId="0" borderId="94" xfId="0" applyBorder="1"/>
    <xf numFmtId="3" fontId="5" fillId="0" borderId="95" xfId="0" applyNumberFormat="1" applyFont="1" applyFill="1" applyBorder="1" applyProtection="1">
      <protection hidden="1"/>
    </xf>
    <xf numFmtId="8" fontId="8" fillId="0" borderId="96" xfId="0" applyNumberFormat="1" applyFont="1" applyFill="1" applyBorder="1" applyProtection="1">
      <protection hidden="1"/>
    </xf>
    <xf numFmtId="8" fontId="8" fillId="0" borderId="97" xfId="0" applyNumberFormat="1" applyFont="1" applyFill="1" applyBorder="1" applyProtection="1">
      <protection hidden="1"/>
    </xf>
    <xf numFmtId="8" fontId="8" fillId="8" borderId="98" xfId="0" applyNumberFormat="1" applyFont="1" applyFill="1" applyBorder="1" applyProtection="1">
      <protection hidden="1"/>
    </xf>
    <xf numFmtId="8" fontId="8" fillId="8" borderId="99" xfId="0" applyNumberFormat="1" applyFont="1" applyFill="1" applyBorder="1" applyProtection="1">
      <protection hidden="1"/>
    </xf>
    <xf numFmtId="8" fontId="8" fillId="0" borderId="100" xfId="0" applyNumberFormat="1" applyFont="1" applyFill="1" applyBorder="1" applyProtection="1">
      <protection hidden="1"/>
    </xf>
    <xf numFmtId="8" fontId="8" fillId="8" borderId="101" xfId="0" applyNumberFormat="1" applyFont="1" applyFill="1" applyBorder="1" applyProtection="1">
      <protection hidden="1"/>
    </xf>
    <xf numFmtId="0" fontId="35" fillId="0" borderId="0" xfId="0" quotePrefix="1" applyFont="1" applyAlignment="1">
      <alignment horizontal="right"/>
    </xf>
    <xf numFmtId="177" fontId="36" fillId="0" borderId="104" xfId="0" applyNumberFormat="1" applyFont="1" applyFill="1" applyBorder="1" applyAlignment="1">
      <alignment horizontal="center"/>
    </xf>
    <xf numFmtId="166" fontId="36" fillId="0" borderId="105" xfId="0" applyNumberFormat="1" applyFont="1" applyBorder="1" applyAlignment="1">
      <alignment horizontal="center"/>
    </xf>
    <xf numFmtId="177" fontId="36" fillId="0" borderId="107" xfId="0" applyNumberFormat="1" applyFont="1" applyFill="1" applyBorder="1" applyAlignment="1">
      <alignment horizontal="center"/>
    </xf>
    <xf numFmtId="177" fontId="36" fillId="0" borderId="110" xfId="0" applyNumberFormat="1" applyFont="1" applyFill="1" applyBorder="1" applyAlignment="1">
      <alignment horizontal="center"/>
    </xf>
    <xf numFmtId="0" fontId="32" fillId="0" borderId="0" xfId="0" applyFont="1"/>
    <xf numFmtId="0" fontId="37" fillId="0" borderId="0" xfId="0" applyFont="1" applyFill="1" applyAlignment="1">
      <alignment horizontal="left"/>
    </xf>
    <xf numFmtId="0" fontId="32" fillId="0" borderId="0" xfId="0" applyFont="1" applyFill="1" applyAlignment="1">
      <alignment horizontal="right"/>
    </xf>
    <xf numFmtId="0" fontId="35" fillId="0" borderId="0" xfId="0" applyFont="1" applyFill="1"/>
    <xf numFmtId="0" fontId="32" fillId="0" borderId="0" xfId="0" applyFont="1" applyFill="1" applyAlignment="1" applyProtection="1">
      <alignment horizontal="left"/>
      <protection locked="0"/>
    </xf>
    <xf numFmtId="0" fontId="37" fillId="0" borderId="0" xfId="0" applyFont="1" applyAlignment="1">
      <alignment horizontal="left"/>
    </xf>
    <xf numFmtId="0" fontId="35" fillId="0" borderId="0" xfId="0" applyFont="1"/>
    <xf numFmtId="1" fontId="32" fillId="0" borderId="0" xfId="0" applyNumberFormat="1" applyFont="1" applyFill="1" applyAlignment="1" applyProtection="1">
      <alignment horizontal="left"/>
      <protection locked="0"/>
    </xf>
    <xf numFmtId="0" fontId="39" fillId="0" borderId="0" xfId="0" applyFont="1"/>
    <xf numFmtId="0" fontId="37" fillId="0" borderId="0" xfId="0" applyFont="1" applyFill="1" applyAlignment="1" applyProtection="1">
      <alignment horizontal="left"/>
      <protection locked="0"/>
    </xf>
    <xf numFmtId="171" fontId="32" fillId="0" borderId="0" xfId="0" applyNumberFormat="1" applyFont="1" applyFill="1" applyAlignment="1">
      <alignment horizontal="left"/>
    </xf>
    <xf numFmtId="8" fontId="36" fillId="0" borderId="0" xfId="0" applyNumberFormat="1" applyFont="1" applyFill="1" applyBorder="1" applyAlignment="1" applyProtection="1">
      <alignment horizontal="left" vertical="center"/>
    </xf>
    <xf numFmtId="0" fontId="37" fillId="0" borderId="0" xfId="0" applyFont="1" applyFill="1" applyBorder="1" applyAlignment="1"/>
    <xf numFmtId="0" fontId="32" fillId="0" borderId="0" xfId="0" applyFont="1" applyFill="1" applyAlignment="1">
      <alignment horizontal="left"/>
    </xf>
    <xf numFmtId="9" fontId="32" fillId="0" borderId="0" xfId="0" applyNumberFormat="1" applyFont="1" applyFill="1" applyAlignment="1" applyProtection="1">
      <alignment horizontal="center"/>
      <protection locked="0"/>
    </xf>
    <xf numFmtId="9" fontId="32" fillId="0" borderId="0" xfId="5" applyFont="1" applyFill="1" applyBorder="1" applyAlignment="1" applyProtection="1">
      <alignment horizontal="center" vertical="center"/>
      <protection locked="0"/>
    </xf>
    <xf numFmtId="0" fontId="32" fillId="0" borderId="0" xfId="0" applyFont="1" applyFill="1"/>
    <xf numFmtId="0" fontId="37" fillId="0" borderId="0" xfId="0" applyFont="1" applyFill="1" applyBorder="1" applyAlignment="1">
      <alignment wrapText="1"/>
    </xf>
    <xf numFmtId="0" fontId="32" fillId="3" borderId="0" xfId="0" applyFont="1" applyFill="1" applyAlignment="1" applyProtection="1">
      <alignment horizontal="center"/>
      <protection locked="0"/>
    </xf>
    <xf numFmtId="0" fontId="32" fillId="8" borderId="0" xfId="0" applyFont="1" applyFill="1" applyAlignment="1" applyProtection="1">
      <alignment horizontal="center"/>
      <protection locked="0"/>
    </xf>
    <xf numFmtId="0" fontId="32" fillId="0" borderId="0" xfId="0" applyFont="1" applyBorder="1"/>
    <xf numFmtId="49" fontId="37" fillId="0" borderId="0" xfId="0" applyNumberFormat="1" applyFont="1" applyFill="1"/>
    <xf numFmtId="0" fontId="36" fillId="0" borderId="0" xfId="0" applyFont="1" applyFill="1" applyAlignment="1">
      <alignment horizontal="right"/>
    </xf>
    <xf numFmtId="0" fontId="36" fillId="0" borderId="0" xfId="0" applyFont="1" applyAlignment="1">
      <alignment horizontal="right"/>
    </xf>
    <xf numFmtId="0" fontId="36" fillId="0" borderId="0" xfId="0" applyFont="1" applyFill="1" applyAlignment="1" applyProtection="1">
      <alignment horizontal="left"/>
      <protection locked="0"/>
    </xf>
    <xf numFmtId="0" fontId="36" fillId="0" borderId="0" xfId="0" applyFont="1" applyAlignment="1">
      <alignment horizontal="left"/>
    </xf>
    <xf numFmtId="9" fontId="36" fillId="0" borderId="0" xfId="0" applyNumberFormat="1" applyFont="1" applyFill="1" applyAlignment="1" applyProtection="1">
      <alignment horizontal="center"/>
      <protection locked="0"/>
    </xf>
    <xf numFmtId="3" fontId="35" fillId="0" borderId="0" xfId="0" applyNumberFormat="1" applyFont="1"/>
    <xf numFmtId="3" fontId="39" fillId="0" borderId="0" xfId="0" applyNumberFormat="1" applyFont="1"/>
    <xf numFmtId="174" fontId="32" fillId="0" borderId="47" xfId="0" applyNumberFormat="1" applyFont="1" applyBorder="1" applyAlignment="1">
      <alignment horizontal="right"/>
    </xf>
    <xf numFmtId="174" fontId="32" fillId="0" borderId="47" xfId="0" applyNumberFormat="1" applyFont="1" applyBorder="1"/>
    <xf numFmtId="174" fontId="32" fillId="0" borderId="116" xfId="0" applyNumberFormat="1" applyFont="1" applyBorder="1"/>
    <xf numFmtId="3" fontId="36" fillId="0" borderId="0" xfId="0" applyNumberFormat="1" applyFont="1"/>
    <xf numFmtId="3" fontId="32" fillId="0" borderId="0" xfId="0" applyNumberFormat="1" applyFont="1"/>
    <xf numFmtId="174" fontId="36" fillId="0" borderId="0" xfId="0" applyNumberFormat="1" applyFont="1" applyBorder="1"/>
    <xf numFmtId="174" fontId="32" fillId="0" borderId="0" xfId="0" applyNumberFormat="1" applyFont="1" applyBorder="1"/>
    <xf numFmtId="3" fontId="39" fillId="0" borderId="0" xfId="0" applyNumberFormat="1" applyFont="1" applyBorder="1" applyAlignment="1">
      <alignment horizontal="center"/>
    </xf>
    <xf numFmtId="3" fontId="43" fillId="0" borderId="0" xfId="0" applyNumberFormat="1" applyFont="1" applyBorder="1"/>
    <xf numFmtId="3" fontId="43" fillId="0" borderId="0" xfId="0" applyNumberFormat="1" applyFont="1"/>
    <xf numFmtId="3" fontId="43" fillId="0" borderId="0" xfId="0" applyNumberFormat="1" applyFont="1" applyAlignment="1">
      <alignment vertical="center"/>
    </xf>
    <xf numFmtId="3" fontId="43" fillId="0" borderId="0" xfId="0" applyNumberFormat="1" applyFont="1" applyFill="1"/>
    <xf numFmtId="177" fontId="32" fillId="0" borderId="116" xfId="0" applyNumberFormat="1" applyFont="1" applyBorder="1"/>
    <xf numFmtId="177" fontId="32" fillId="0" borderId="119" xfId="0" applyNumberFormat="1" applyFont="1" applyBorder="1"/>
    <xf numFmtId="3" fontId="34" fillId="0" borderId="0" xfId="0" applyNumberFormat="1" applyFont="1"/>
    <xf numFmtId="177" fontId="32" fillId="0" borderId="121" xfId="0" applyNumberFormat="1" applyFont="1" applyBorder="1"/>
    <xf numFmtId="177" fontId="32" fillId="0" borderId="51" xfId="0" applyNumberFormat="1" applyFont="1" applyBorder="1"/>
    <xf numFmtId="177" fontId="36" fillId="0" borderId="50" xfId="0" applyNumberFormat="1" applyFont="1" applyBorder="1"/>
    <xf numFmtId="3" fontId="32" fillId="0" borderId="0" xfId="0" applyNumberFormat="1" applyFont="1" applyFill="1" applyBorder="1" applyAlignment="1">
      <alignment horizontal="center" vertical="center" wrapText="1"/>
    </xf>
    <xf numFmtId="177" fontId="32" fillId="0" borderId="0" xfId="0" applyNumberFormat="1" applyFont="1" applyBorder="1"/>
    <xf numFmtId="3" fontId="44" fillId="0" borderId="0" xfId="0" applyNumberFormat="1" applyFont="1"/>
    <xf numFmtId="3" fontId="39" fillId="0" borderId="0" xfId="0" applyNumberFormat="1" applyFont="1" applyBorder="1"/>
    <xf numFmtId="0" fontId="43" fillId="0" borderId="0" xfId="0" applyFont="1"/>
    <xf numFmtId="3" fontId="43" fillId="0" borderId="0" xfId="0" applyNumberFormat="1" applyFont="1" applyAlignment="1">
      <alignment vertical="center" wrapText="1"/>
    </xf>
    <xf numFmtId="3" fontId="33" fillId="8" borderId="11" xfId="0" applyNumberFormat="1" applyFont="1" applyFill="1" applyBorder="1" applyAlignment="1">
      <alignment horizontal="left"/>
    </xf>
    <xf numFmtId="166" fontId="37" fillId="0" borderId="123" xfId="5" applyNumberFormat="1" applyFont="1" applyBorder="1"/>
    <xf numFmtId="174" fontId="37" fillId="0" borderId="123" xfId="0" applyNumberFormat="1" applyFont="1" applyBorder="1"/>
    <xf numFmtId="166" fontId="37" fillId="0" borderId="35" xfId="5" applyNumberFormat="1" applyFont="1" applyBorder="1"/>
    <xf numFmtId="166" fontId="37" fillId="0" borderId="124" xfId="5" applyNumberFormat="1" applyFont="1" applyBorder="1"/>
    <xf numFmtId="174" fontId="37" fillId="0" borderId="124" xfId="0" applyNumberFormat="1" applyFont="1" applyBorder="1"/>
    <xf numFmtId="3" fontId="33" fillId="8" borderId="125" xfId="0" applyNumberFormat="1" applyFont="1" applyFill="1" applyBorder="1" applyAlignment="1">
      <alignment horizontal="left"/>
    </xf>
    <xf numFmtId="166" fontId="37" fillId="0" borderId="126" xfId="5" applyNumberFormat="1" applyFont="1" applyBorder="1"/>
    <xf numFmtId="174" fontId="37" fillId="0" borderId="126" xfId="0" applyNumberFormat="1" applyFont="1" applyBorder="1"/>
    <xf numFmtId="166" fontId="37" fillId="0" borderId="127" xfId="5" applyNumberFormat="1" applyFont="1" applyBorder="1"/>
    <xf numFmtId="3" fontId="32" fillId="2" borderId="23" xfId="0" applyNumberFormat="1" applyFont="1" applyFill="1" applyBorder="1"/>
    <xf numFmtId="166" fontId="37" fillId="0" borderId="126" xfId="0" applyNumberFormat="1" applyFont="1" applyBorder="1"/>
    <xf numFmtId="3" fontId="32" fillId="0" borderId="0" xfId="0" applyNumberFormat="1" applyFont="1" applyFill="1"/>
    <xf numFmtId="166" fontId="35" fillId="0" borderId="128" xfId="5" applyNumberFormat="1" applyFont="1" applyBorder="1"/>
    <xf numFmtId="174" fontId="35" fillId="0" borderId="128" xfId="0" applyNumberFormat="1" applyFont="1" applyBorder="1"/>
    <xf numFmtId="166" fontId="35" fillId="0" borderId="129" xfId="5" applyNumberFormat="1" applyFont="1" applyBorder="1"/>
    <xf numFmtId="166" fontId="35" fillId="0" borderId="43" xfId="5" applyNumberFormat="1" applyFont="1" applyBorder="1"/>
    <xf numFmtId="0" fontId="42" fillId="0" borderId="0" xfId="0" applyFont="1" applyFill="1" applyBorder="1" applyProtection="1"/>
    <xf numFmtId="8" fontId="44" fillId="0" borderId="0" xfId="0" applyNumberFormat="1" applyFont="1" applyFill="1" applyBorder="1" applyProtection="1"/>
    <xf numFmtId="8" fontId="43" fillId="0" borderId="0" xfId="0" applyNumberFormat="1" applyFont="1" applyFill="1" applyBorder="1" applyAlignment="1" applyProtection="1">
      <alignment horizontal="center"/>
    </xf>
    <xf numFmtId="8" fontId="43" fillId="0" borderId="0" xfId="0" applyNumberFormat="1" applyFont="1" applyFill="1" applyBorder="1" applyProtection="1"/>
    <xf numFmtId="0" fontId="37" fillId="0" borderId="0" xfId="0" applyFont="1" applyAlignment="1" applyProtection="1">
      <alignment horizontal="center" vertical="center"/>
      <protection hidden="1"/>
    </xf>
    <xf numFmtId="0" fontId="43" fillId="0" borderId="0" xfId="0" applyFont="1" applyFill="1" applyBorder="1" applyProtection="1"/>
    <xf numFmtId="0" fontId="44" fillId="0" borderId="0" xfId="0" applyFont="1" applyFill="1" applyBorder="1" applyProtection="1"/>
    <xf numFmtId="8" fontId="39" fillId="0" borderId="0" xfId="0" applyNumberFormat="1" applyFont="1" applyFill="1" applyBorder="1" applyAlignment="1" applyProtection="1">
      <alignment horizontal="center" vertical="center" wrapText="1"/>
    </xf>
    <xf numFmtId="0" fontId="37" fillId="0" borderId="0" xfId="0" applyFont="1"/>
    <xf numFmtId="0" fontId="39" fillId="0" borderId="0" xfId="0" applyFont="1" applyFill="1" applyBorder="1" applyAlignment="1" applyProtection="1">
      <alignment horizontal="center" vertical="center" wrapText="1"/>
    </xf>
    <xf numFmtId="0" fontId="42" fillId="0" borderId="0" xfId="0" applyFont="1" applyFill="1" applyBorder="1" applyAlignment="1" applyProtection="1">
      <alignment horizontal="left"/>
    </xf>
    <xf numFmtId="8" fontId="42" fillId="0" borderId="0" xfId="0" applyNumberFormat="1" applyFont="1" applyFill="1" applyBorder="1" applyAlignment="1" applyProtection="1">
      <alignment horizontal="center"/>
    </xf>
    <xf numFmtId="0" fontId="119" fillId="0" borderId="0" xfId="0" applyFont="1" applyFill="1" applyBorder="1" applyProtection="1"/>
    <xf numFmtId="0" fontId="119" fillId="8" borderId="0" xfId="0" applyFont="1" applyFill="1" applyBorder="1" applyProtection="1"/>
    <xf numFmtId="8" fontId="43" fillId="8" borderId="21" xfId="0" applyNumberFormat="1" applyFont="1" applyFill="1" applyBorder="1" applyProtection="1"/>
    <xf numFmtId="0" fontId="37" fillId="0" borderId="0" xfId="0" applyFont="1" applyBorder="1"/>
    <xf numFmtId="0" fontId="37" fillId="0" borderId="0" xfId="0" applyFont="1" applyFill="1" applyBorder="1" applyAlignment="1" applyProtection="1">
      <alignment horizontal="left"/>
    </xf>
    <xf numFmtId="168" fontId="43" fillId="0" borderId="0" xfId="0" applyNumberFormat="1" applyFont="1"/>
    <xf numFmtId="0" fontId="32" fillId="9" borderId="130" xfId="0" applyFont="1" applyFill="1" applyBorder="1" applyAlignment="1" applyProtection="1">
      <alignment horizontal="left"/>
    </xf>
    <xf numFmtId="174" fontId="32" fillId="9" borderId="131" xfId="0" applyNumberFormat="1" applyFont="1" applyFill="1" applyBorder="1" applyAlignment="1" applyProtection="1"/>
    <xf numFmtId="166" fontId="32" fillId="0" borderId="132" xfId="0" applyNumberFormat="1" applyFont="1" applyBorder="1"/>
    <xf numFmtId="177" fontId="32" fillId="9" borderId="86" xfId="0" applyNumberFormat="1" applyFont="1" applyFill="1" applyBorder="1" applyAlignment="1" applyProtection="1">
      <alignment vertical="center"/>
    </xf>
    <xf numFmtId="177" fontId="32" fillId="9" borderId="88" xfId="0" applyNumberFormat="1" applyFont="1" applyFill="1" applyBorder="1" applyProtection="1"/>
    <xf numFmtId="177" fontId="32" fillId="9" borderId="86" xfId="0" applyNumberFormat="1" applyFont="1" applyFill="1" applyBorder="1" applyProtection="1"/>
    <xf numFmtId="49" fontId="37" fillId="0" borderId="0" xfId="0" applyNumberFormat="1" applyFont="1" applyFill="1" applyBorder="1" applyAlignment="1" applyProtection="1">
      <alignment horizontal="left"/>
    </xf>
    <xf numFmtId="174" fontId="36" fillId="0" borderId="133" xfId="0" applyNumberFormat="1" applyFont="1" applyFill="1" applyBorder="1" applyAlignment="1" applyProtection="1"/>
    <xf numFmtId="166" fontId="36" fillId="0" borderId="44" xfId="0" applyNumberFormat="1" applyFont="1" applyBorder="1"/>
    <xf numFmtId="0" fontId="39" fillId="0" borderId="0" xfId="0" applyFont="1" applyFill="1" applyBorder="1" applyAlignment="1" applyProtection="1">
      <alignment horizontal="center" vertical="center"/>
    </xf>
    <xf numFmtId="174" fontId="36" fillId="11" borderId="86" xfId="0" applyNumberFormat="1" applyFont="1" applyFill="1" applyBorder="1" applyProtection="1">
      <protection locked="0"/>
    </xf>
    <xf numFmtId="174" fontId="36" fillId="0" borderId="88" xfId="0" applyNumberFormat="1" applyFont="1" applyFill="1" applyBorder="1" applyProtection="1"/>
    <xf numFmtId="168" fontId="43" fillId="0" borderId="0" xfId="0" applyNumberFormat="1" applyFont="1" applyFill="1"/>
    <xf numFmtId="49" fontId="37" fillId="0" borderId="0" xfId="0" applyNumberFormat="1"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166" fontId="36" fillId="0" borderId="27" xfId="0" applyNumberFormat="1" applyFont="1" applyBorder="1"/>
    <xf numFmtId="174" fontId="36" fillId="11" borderId="88" xfId="0" applyNumberFormat="1" applyFont="1" applyFill="1" applyBorder="1" applyProtection="1">
      <protection locked="0"/>
    </xf>
    <xf numFmtId="0" fontId="39" fillId="0" borderId="0" xfId="0" applyFont="1" applyFill="1" applyBorder="1" applyProtection="1"/>
    <xf numFmtId="174" fontId="45" fillId="0" borderId="74" xfId="0" applyNumberFormat="1" applyFont="1" applyFill="1" applyBorder="1" applyAlignment="1" applyProtection="1"/>
    <xf numFmtId="166" fontId="36" fillId="0" borderId="88" xfId="0" applyNumberFormat="1" applyFont="1" applyBorder="1"/>
    <xf numFmtId="168" fontId="36" fillId="0" borderId="13" xfId="0" applyNumberFormat="1" applyFont="1" applyFill="1" applyBorder="1"/>
    <xf numFmtId="168" fontId="36" fillId="0" borderId="39" xfId="0" applyNumberFormat="1" applyFont="1" applyFill="1" applyBorder="1"/>
    <xf numFmtId="168" fontId="36" fillId="0" borderId="88" xfId="0" applyNumberFormat="1" applyFont="1" applyFill="1" applyBorder="1" applyProtection="1"/>
    <xf numFmtId="49" fontId="37" fillId="8" borderId="0" xfId="0" applyNumberFormat="1" applyFont="1" applyFill="1" applyBorder="1" applyAlignment="1" applyProtection="1">
      <alignment horizontal="left"/>
    </xf>
    <xf numFmtId="0" fontId="120" fillId="0" borderId="0" xfId="0" applyFont="1" applyFill="1" applyBorder="1" applyAlignment="1" applyProtection="1">
      <alignment horizontal="left"/>
    </xf>
    <xf numFmtId="0" fontId="32" fillId="9" borderId="86" xfId="0" applyFont="1" applyFill="1" applyBorder="1" applyProtection="1"/>
    <xf numFmtId="174" fontId="32" fillId="9" borderId="74" xfId="0" applyNumberFormat="1" applyFont="1" applyFill="1" applyBorder="1" applyAlignment="1" applyProtection="1"/>
    <xf numFmtId="166" fontId="32" fillId="0" borderId="88" xfId="0" applyNumberFormat="1" applyFont="1" applyBorder="1"/>
    <xf numFmtId="0" fontId="121" fillId="0" borderId="0" xfId="0" applyFont="1" applyFill="1" applyBorder="1" applyAlignment="1" applyProtection="1">
      <alignment horizontal="left"/>
    </xf>
    <xf numFmtId="168" fontId="36" fillId="0" borderId="14" xfId="0" applyNumberFormat="1" applyFont="1" applyFill="1" applyBorder="1"/>
    <xf numFmtId="0" fontId="32" fillId="9" borderId="13" xfId="0" applyFont="1" applyFill="1" applyBorder="1" applyProtection="1"/>
    <xf numFmtId="0" fontId="32" fillId="0" borderId="134" xfId="0" applyFont="1" applyFill="1" applyBorder="1" applyProtection="1"/>
    <xf numFmtId="177" fontId="32" fillId="9" borderId="83" xfId="0" applyNumberFormat="1" applyFont="1" applyFill="1" applyBorder="1" applyProtection="1"/>
    <xf numFmtId="168" fontId="32" fillId="0" borderId="88" xfId="0" applyNumberFormat="1" applyFont="1" applyFill="1" applyBorder="1" applyProtection="1"/>
    <xf numFmtId="0" fontId="32" fillId="0" borderId="17" xfId="0" applyFont="1" applyFill="1" applyBorder="1" applyProtection="1"/>
    <xf numFmtId="0" fontId="32" fillId="9" borderId="130" xfId="0" applyFont="1" applyFill="1" applyBorder="1" applyProtection="1"/>
    <xf numFmtId="174" fontId="32" fillId="9" borderId="135" xfId="0" applyNumberFormat="1" applyFont="1" applyFill="1" applyBorder="1" applyAlignment="1" applyProtection="1"/>
    <xf numFmtId="166" fontId="32" fillId="0" borderId="39" xfId="0" applyNumberFormat="1" applyFont="1" applyBorder="1"/>
    <xf numFmtId="174" fontId="32" fillId="9" borderId="83" xfId="0" applyNumberFormat="1" applyFont="1" applyFill="1" applyBorder="1" applyProtection="1"/>
    <xf numFmtId="174" fontId="36" fillId="0" borderId="135" xfId="0" applyNumberFormat="1" applyFont="1" applyFill="1" applyBorder="1" applyAlignment="1" applyProtection="1"/>
    <xf numFmtId="166" fontId="36" fillId="0" borderId="39" xfId="0" applyNumberFormat="1" applyFont="1" applyBorder="1"/>
    <xf numFmtId="168" fontId="36" fillId="0" borderId="136" xfId="0" applyNumberFormat="1" applyFont="1" applyFill="1" applyBorder="1" applyProtection="1"/>
    <xf numFmtId="177" fontId="36" fillId="11" borderId="137" xfId="0" applyNumberFormat="1" applyFont="1" applyFill="1" applyBorder="1" applyProtection="1">
      <protection locked="0"/>
    </xf>
    <xf numFmtId="3" fontId="43" fillId="0" borderId="0" xfId="0" applyNumberFormat="1" applyFont="1" applyFill="1" applyBorder="1" applyProtection="1"/>
    <xf numFmtId="0" fontId="122" fillId="0" borderId="0" xfId="0" applyFont="1" applyFill="1" applyBorder="1" applyAlignment="1" applyProtection="1">
      <alignment vertical="justify"/>
    </xf>
    <xf numFmtId="8" fontId="39" fillId="0" borderId="0" xfId="0" applyNumberFormat="1" applyFont="1" applyFill="1" applyBorder="1" applyProtection="1"/>
    <xf numFmtId="174" fontId="32" fillId="9" borderId="87" xfId="0" applyNumberFormat="1" applyFont="1" applyFill="1" applyBorder="1" applyAlignment="1" applyProtection="1"/>
    <xf numFmtId="174" fontId="36" fillId="0" borderId="84" xfId="0" applyNumberFormat="1" applyFont="1" applyFill="1" applyBorder="1" applyAlignment="1" applyProtection="1"/>
    <xf numFmtId="174" fontId="36" fillId="0" borderId="36" xfId="0" applyNumberFormat="1" applyFont="1" applyFill="1" applyBorder="1" applyAlignment="1" applyProtection="1"/>
    <xf numFmtId="8" fontId="43" fillId="8" borderId="0" xfId="0" applyNumberFormat="1" applyFont="1" applyFill="1" applyBorder="1" applyProtection="1"/>
    <xf numFmtId="0" fontId="32" fillId="9" borderId="83" xfId="0" applyFont="1" applyFill="1" applyBorder="1" applyProtection="1"/>
    <xf numFmtId="174" fontId="32" fillId="9" borderId="138" xfId="0" applyNumberFormat="1" applyFont="1" applyFill="1" applyBorder="1" applyAlignment="1" applyProtection="1"/>
    <xf numFmtId="166" fontId="32" fillId="0" borderId="44" xfId="0" applyNumberFormat="1" applyFont="1" applyBorder="1"/>
    <xf numFmtId="0" fontId="36" fillId="0" borderId="0" xfId="0" applyFont="1" applyFill="1" applyBorder="1" applyProtection="1"/>
    <xf numFmtId="8" fontId="36" fillId="0" borderId="0" xfId="0" applyNumberFormat="1" applyFont="1" applyFill="1" applyBorder="1" applyProtection="1"/>
    <xf numFmtId="8" fontId="37" fillId="0" borderId="87" xfId="0" applyNumberFormat="1" applyFont="1" applyFill="1" applyBorder="1" applyAlignment="1" applyProtection="1">
      <alignment vertical="center"/>
      <protection locked="0"/>
    </xf>
    <xf numFmtId="0" fontId="36" fillId="8" borderId="12" xfId="0" applyFont="1" applyFill="1" applyBorder="1" applyProtection="1"/>
    <xf numFmtId="0" fontId="45" fillId="8" borderId="86" xfId="0" applyFont="1" applyFill="1" applyBorder="1" applyProtection="1"/>
    <xf numFmtId="0" fontId="36" fillId="8" borderId="13" xfId="0" applyFont="1" applyFill="1" applyBorder="1" applyProtection="1"/>
    <xf numFmtId="177" fontId="32" fillId="9" borderId="7" xfId="0" applyNumberFormat="1" applyFont="1" applyFill="1" applyBorder="1" applyAlignment="1" applyProtection="1">
      <alignment vertical="center"/>
    </xf>
    <xf numFmtId="177" fontId="32" fillId="9" borderId="17" xfId="0" applyNumberFormat="1" applyFont="1" applyFill="1" applyBorder="1" applyAlignment="1" applyProtection="1">
      <alignment vertical="center"/>
    </xf>
    <xf numFmtId="174" fontId="32" fillId="9" borderId="7" xfId="0" applyNumberFormat="1" applyFont="1" applyFill="1" applyBorder="1" applyProtection="1"/>
    <xf numFmtId="166" fontId="32" fillId="0" borderId="132" xfId="0" applyNumberFormat="1" applyFont="1" applyFill="1" applyBorder="1" applyAlignment="1" applyProtection="1">
      <alignment vertical="center"/>
    </xf>
    <xf numFmtId="166" fontId="36" fillId="0" borderId="27" xfId="0" applyNumberFormat="1" applyFont="1" applyFill="1" applyBorder="1" applyAlignment="1" applyProtection="1">
      <alignment vertical="center"/>
    </xf>
    <xf numFmtId="49" fontId="37" fillId="0" borderId="0" xfId="0" applyNumberFormat="1" applyFont="1" applyFill="1" applyBorder="1" applyAlignment="1">
      <alignment vertical="justify"/>
    </xf>
    <xf numFmtId="0" fontId="37" fillId="0" borderId="0" xfId="0" applyFont="1" applyFill="1" applyBorder="1" applyAlignment="1">
      <alignment vertical="justify"/>
    </xf>
    <xf numFmtId="177" fontId="37" fillId="0" borderId="0" xfId="0" applyNumberFormat="1" applyFont="1" applyFill="1" applyBorder="1" applyProtection="1">
      <protection locked="0"/>
    </xf>
    <xf numFmtId="0" fontId="37" fillId="0" borderId="0" xfId="0" applyFont="1" applyFill="1"/>
    <xf numFmtId="166" fontId="36" fillId="0" borderId="44" xfId="0" applyNumberFormat="1" applyFont="1" applyFill="1" applyBorder="1" applyAlignment="1" applyProtection="1">
      <alignment vertical="center"/>
    </xf>
    <xf numFmtId="49" fontId="37" fillId="0" borderId="0" xfId="0" applyNumberFormat="1" applyFont="1"/>
    <xf numFmtId="166" fontId="36" fillId="0" borderId="31" xfId="0" applyNumberFormat="1" applyFont="1" applyFill="1" applyBorder="1" applyAlignment="1" applyProtection="1">
      <alignment vertical="center"/>
    </xf>
    <xf numFmtId="166" fontId="32" fillId="9" borderId="17" xfId="0" applyNumberFormat="1" applyFont="1" applyFill="1" applyBorder="1" applyAlignment="1" applyProtection="1">
      <alignment vertical="center"/>
    </xf>
    <xf numFmtId="166" fontId="32" fillId="0" borderId="88" xfId="0" applyNumberFormat="1" applyFont="1" applyFill="1" applyBorder="1" applyAlignment="1" applyProtection="1">
      <alignment vertical="center"/>
    </xf>
    <xf numFmtId="0" fontId="37" fillId="0" borderId="0" xfId="0" applyFont="1" applyFill="1" applyBorder="1" applyAlignment="1">
      <alignment horizontal="left" vertical="justify"/>
    </xf>
    <xf numFmtId="166" fontId="36" fillId="0" borderId="88" xfId="0" applyNumberFormat="1" applyFont="1" applyFill="1" applyBorder="1" applyAlignment="1" applyProtection="1">
      <alignment vertical="center"/>
    </xf>
    <xf numFmtId="0" fontId="38" fillId="0" borderId="0" xfId="0" applyFont="1" applyFill="1" applyBorder="1" applyProtection="1"/>
    <xf numFmtId="8" fontId="38" fillId="0" borderId="0" xfId="0" applyNumberFormat="1" applyFont="1" applyFill="1" applyBorder="1" applyProtection="1"/>
    <xf numFmtId="9" fontId="38" fillId="0" borderId="0" xfId="0" applyNumberFormat="1" applyFont="1" applyFill="1" applyBorder="1" applyProtection="1"/>
    <xf numFmtId="168" fontId="37" fillId="9" borderId="87" xfId="0" applyNumberFormat="1" applyFont="1" applyFill="1" applyBorder="1" applyAlignment="1" applyProtection="1">
      <alignment vertical="center"/>
      <protection locked="0"/>
    </xf>
    <xf numFmtId="8" fontId="48" fillId="0" borderId="0" xfId="0" applyNumberFormat="1" applyFont="1" applyFill="1" applyBorder="1"/>
    <xf numFmtId="0" fontId="48" fillId="0" borderId="0" xfId="0" applyFont="1" applyFill="1" applyBorder="1"/>
    <xf numFmtId="0" fontId="35" fillId="0" borderId="5" xfId="0" applyFont="1" applyBorder="1" applyAlignment="1">
      <alignment horizontal="center" vertical="center"/>
    </xf>
    <xf numFmtId="174" fontId="37" fillId="0" borderId="5" xfId="0" applyNumberFormat="1" applyFont="1" applyFill="1" applyBorder="1" applyAlignment="1">
      <alignment horizontal="right"/>
    </xf>
    <xf numFmtId="0" fontId="49" fillId="0" borderId="0" xfId="0" applyFont="1" applyFill="1" applyBorder="1" applyAlignment="1" applyProtection="1">
      <alignment horizontal="left"/>
    </xf>
    <xf numFmtId="8" fontId="49" fillId="0" borderId="0" xfId="0" applyNumberFormat="1" applyFont="1" applyFill="1" applyBorder="1" applyAlignment="1" applyProtection="1">
      <alignment horizontal="center"/>
    </xf>
    <xf numFmtId="8" fontId="39" fillId="0" borderId="0" xfId="0" applyNumberFormat="1" applyFont="1" applyFill="1" applyBorder="1" applyAlignment="1" applyProtection="1">
      <alignment horizontal="center"/>
    </xf>
    <xf numFmtId="0" fontId="50" fillId="0" borderId="0" xfId="0" applyFont="1"/>
    <xf numFmtId="9" fontId="43" fillId="0" borderId="0" xfId="5" applyFont="1" applyFill="1" applyBorder="1" applyAlignment="1" applyProtection="1">
      <alignment horizontal="center"/>
    </xf>
    <xf numFmtId="8" fontId="43" fillId="0" borderId="0" xfId="5" applyNumberFormat="1" applyFont="1" applyFill="1" applyBorder="1" applyAlignment="1" applyProtection="1">
      <alignment horizontal="center"/>
    </xf>
    <xf numFmtId="8" fontId="43" fillId="0" borderId="0" xfId="0" applyNumberFormat="1" applyFont="1" applyFill="1" applyBorder="1" applyAlignment="1" applyProtection="1">
      <alignment horizontal="right"/>
    </xf>
    <xf numFmtId="8" fontId="36" fillId="0" borderId="0" xfId="0" applyNumberFormat="1" applyFont="1" applyFill="1" applyBorder="1" applyAlignment="1" applyProtection="1">
      <alignment horizontal="center" vertical="center"/>
    </xf>
    <xf numFmtId="0" fontId="37" fillId="0" borderId="0" xfId="0" applyFont="1" applyFill="1" applyBorder="1" applyAlignment="1">
      <alignment horizontal="center" vertical="center"/>
    </xf>
    <xf numFmtId="9" fontId="43" fillId="0" borderId="0" xfId="5" applyFont="1" applyFill="1" applyBorder="1" applyAlignment="1" applyProtection="1"/>
    <xf numFmtId="9" fontId="43" fillId="0" borderId="0" xfId="5" applyFont="1" applyFill="1" applyBorder="1" applyAlignment="1" applyProtection="1">
      <alignment horizontal="left"/>
    </xf>
    <xf numFmtId="49" fontId="43" fillId="0" borderId="0" xfId="5" applyNumberFormat="1" applyFont="1" applyFill="1" applyBorder="1" applyAlignment="1" applyProtection="1">
      <alignment horizontal="center"/>
    </xf>
    <xf numFmtId="9" fontId="34" fillId="8" borderId="0" xfId="5" applyFont="1" applyFill="1" applyBorder="1" applyAlignment="1" applyProtection="1">
      <alignment horizontal="center"/>
    </xf>
    <xf numFmtId="9" fontId="43" fillId="8" borderId="0" xfId="5" applyFont="1" applyFill="1" applyBorder="1" applyAlignment="1" applyProtection="1">
      <alignment horizontal="center"/>
    </xf>
    <xf numFmtId="8" fontId="34" fillId="8" borderId="0" xfId="5" applyNumberFormat="1" applyFont="1" applyFill="1" applyBorder="1" applyAlignment="1" applyProtection="1">
      <alignment horizontal="center"/>
    </xf>
    <xf numFmtId="8" fontId="43" fillId="8" borderId="0" xfId="0" applyNumberFormat="1" applyFont="1" applyFill="1" applyBorder="1" applyAlignment="1" applyProtection="1">
      <alignment horizontal="right"/>
    </xf>
    <xf numFmtId="0" fontId="39" fillId="0" borderId="0" xfId="0" applyFont="1" applyFill="1" applyBorder="1" applyAlignment="1" applyProtection="1">
      <alignment horizontal="center"/>
    </xf>
    <xf numFmtId="0" fontId="36" fillId="0" borderId="12" xfId="0" applyFont="1" applyFill="1" applyBorder="1" applyAlignment="1" applyProtection="1">
      <alignment horizontal="left"/>
    </xf>
    <xf numFmtId="174" fontId="36" fillId="0" borderId="138" xfId="0" applyNumberFormat="1" applyFont="1" applyFill="1" applyBorder="1" applyAlignment="1" applyProtection="1"/>
    <xf numFmtId="1" fontId="36" fillId="0" borderId="53" xfId="0" applyNumberFormat="1" applyFont="1" applyFill="1" applyBorder="1" applyAlignment="1" applyProtection="1">
      <alignment horizontal="center"/>
    </xf>
    <xf numFmtId="166" fontId="36" fillId="0" borderId="53" xfId="5" applyNumberFormat="1" applyFont="1" applyFill="1" applyBorder="1" applyAlignment="1" applyProtection="1">
      <alignment horizontal="right"/>
    </xf>
    <xf numFmtId="174" fontId="36" fillId="0" borderId="54" xfId="5" applyNumberFormat="1" applyFont="1" applyFill="1" applyBorder="1" applyAlignment="1" applyProtection="1">
      <alignment horizontal="right"/>
      <protection hidden="1"/>
    </xf>
    <xf numFmtId="166" fontId="36" fillId="0" borderId="47" xfId="5" applyNumberFormat="1" applyFont="1" applyFill="1" applyBorder="1" applyProtection="1"/>
    <xf numFmtId="174" fontId="36" fillId="0" borderId="32" xfId="5" applyNumberFormat="1" applyFont="1" applyFill="1" applyBorder="1" applyProtection="1"/>
    <xf numFmtId="166" fontId="36" fillId="0" borderId="54" xfId="5" applyNumberFormat="1" applyFont="1" applyFill="1" applyBorder="1" applyProtection="1">
      <protection locked="0"/>
    </xf>
    <xf numFmtId="166" fontId="36" fillId="0" borderId="0" xfId="5" applyNumberFormat="1" applyFont="1" applyFill="1" applyBorder="1" applyProtection="1">
      <protection locked="0"/>
    </xf>
    <xf numFmtId="0" fontId="36" fillId="0" borderId="11" xfId="0" applyFont="1" applyFill="1" applyBorder="1" applyProtection="1"/>
    <xf numFmtId="172" fontId="37" fillId="0" borderId="54" xfId="5" applyNumberFormat="1" applyFont="1" applyFill="1" applyBorder="1" applyAlignment="1" applyProtection="1">
      <alignment horizontal="center"/>
      <protection hidden="1"/>
    </xf>
    <xf numFmtId="1" fontId="32" fillId="0" borderId="141" xfId="0" applyNumberFormat="1" applyFont="1" applyFill="1" applyBorder="1" applyAlignment="1" applyProtection="1">
      <alignment horizontal="center"/>
    </xf>
    <xf numFmtId="166" fontId="32" fillId="0" borderId="141" xfId="0" applyNumberFormat="1" applyFont="1" applyFill="1" applyBorder="1" applyProtection="1"/>
    <xf numFmtId="174" fontId="32" fillId="0" borderId="141" xfId="0" applyNumberFormat="1" applyFont="1" applyFill="1" applyBorder="1" applyProtection="1"/>
    <xf numFmtId="166" fontId="32" fillId="0" borderId="142" xfId="0" applyNumberFormat="1" applyFont="1" applyFill="1" applyBorder="1" applyProtection="1"/>
    <xf numFmtId="172" fontId="32" fillId="0" borderId="141" xfId="0" applyNumberFormat="1" applyFont="1" applyFill="1" applyBorder="1" applyAlignment="1" applyProtection="1">
      <alignment horizontal="center"/>
      <protection hidden="1"/>
    </xf>
    <xf numFmtId="174" fontId="32" fillId="0" borderId="143" xfId="0" applyNumberFormat="1" applyFont="1" applyFill="1" applyBorder="1" applyProtection="1"/>
    <xf numFmtId="166" fontId="32" fillId="0" borderId="0" xfId="0" applyNumberFormat="1" applyFont="1" applyFill="1" applyBorder="1" applyProtection="1"/>
    <xf numFmtId="0" fontId="32" fillId="0" borderId="144" xfId="0" applyFont="1" applyFill="1" applyBorder="1" applyAlignment="1" applyProtection="1">
      <alignment horizontal="left"/>
    </xf>
    <xf numFmtId="168" fontId="32" fillId="0" borderId="144" xfId="0" applyNumberFormat="1" applyFont="1" applyFill="1" applyBorder="1" applyProtection="1"/>
    <xf numFmtId="1" fontId="32" fillId="0" borderId="19" xfId="0" applyNumberFormat="1" applyFont="1" applyFill="1" applyBorder="1" applyAlignment="1" applyProtection="1">
      <alignment horizontal="center"/>
    </xf>
    <xf numFmtId="166" fontId="32" fillId="0" borderId="19" xfId="0" applyNumberFormat="1" applyFont="1" applyFill="1" applyBorder="1" applyProtection="1"/>
    <xf numFmtId="168" fontId="32" fillId="0" borderId="19" xfId="0" applyNumberFormat="1" applyFont="1" applyFill="1" applyBorder="1" applyAlignment="1" applyProtection="1">
      <alignment horizontal="center"/>
      <protection hidden="1"/>
    </xf>
    <xf numFmtId="172" fontId="32" fillId="0" borderId="19" xfId="0" applyNumberFormat="1" applyFont="1" applyFill="1" applyBorder="1" applyAlignment="1" applyProtection="1">
      <alignment horizontal="center"/>
      <protection hidden="1"/>
    </xf>
    <xf numFmtId="168" fontId="32" fillId="0" borderId="144" xfId="0" applyNumberFormat="1" applyFont="1" applyFill="1" applyBorder="1" applyProtection="1">
      <protection hidden="1"/>
    </xf>
    <xf numFmtId="168" fontId="32" fillId="0" borderId="19" xfId="0" applyNumberFormat="1" applyFont="1" applyFill="1" applyBorder="1" applyProtection="1">
      <protection hidden="1"/>
    </xf>
    <xf numFmtId="174" fontId="36" fillId="0" borderId="27" xfId="0" applyNumberFormat="1" applyFont="1" applyFill="1" applyBorder="1" applyAlignment="1" applyProtection="1"/>
    <xf numFmtId="166" fontId="36" fillId="0" borderId="145" xfId="5" applyNumberFormat="1" applyFont="1" applyFill="1" applyBorder="1" applyProtection="1">
      <protection locked="0"/>
    </xf>
    <xf numFmtId="174" fontId="36" fillId="0" borderId="145" xfId="5" applyNumberFormat="1" applyFont="1" applyFill="1" applyBorder="1" applyAlignment="1" applyProtection="1">
      <alignment horizontal="right"/>
      <protection hidden="1"/>
    </xf>
    <xf numFmtId="166" fontId="36" fillId="0" borderId="145" xfId="5" applyNumberFormat="1" applyFont="1" applyFill="1" applyBorder="1" applyProtection="1"/>
    <xf numFmtId="172" fontId="37" fillId="0" borderId="145" xfId="5" applyNumberFormat="1" applyFont="1" applyFill="1" applyBorder="1" applyAlignment="1" applyProtection="1">
      <alignment horizontal="center"/>
      <protection hidden="1"/>
    </xf>
    <xf numFmtId="166" fontId="36" fillId="0" borderId="146" xfId="5" applyNumberFormat="1" applyFont="1" applyFill="1" applyBorder="1" applyProtection="1">
      <protection locked="0"/>
    </xf>
    <xf numFmtId="166" fontId="36" fillId="0" borderId="146" xfId="5" applyNumberFormat="1" applyFont="1" applyFill="1" applyBorder="1" applyProtection="1"/>
    <xf numFmtId="172" fontId="37" fillId="0" borderId="146" xfId="5" applyNumberFormat="1" applyFont="1" applyFill="1" applyBorder="1" applyAlignment="1" applyProtection="1">
      <alignment horizontal="center"/>
      <protection hidden="1"/>
    </xf>
    <xf numFmtId="1" fontId="32" fillId="0" borderId="147" xfId="0" applyNumberFormat="1" applyFont="1" applyFill="1" applyBorder="1" applyAlignment="1" applyProtection="1">
      <alignment horizontal="center"/>
    </xf>
    <xf numFmtId="172" fontId="32" fillId="0" borderId="141" xfId="5" applyNumberFormat="1" applyFont="1" applyFill="1" applyBorder="1" applyAlignment="1" applyProtection="1">
      <alignment horizontal="center"/>
      <protection hidden="1"/>
    </xf>
    <xf numFmtId="0" fontId="32" fillId="0" borderId="0" xfId="0" applyFont="1" applyFill="1" applyBorder="1" applyProtection="1"/>
    <xf numFmtId="174" fontId="32" fillId="0" borderId="0" xfId="0" applyNumberFormat="1" applyFont="1" applyFill="1" applyBorder="1" applyProtection="1"/>
    <xf numFmtId="172" fontId="32" fillId="0" borderId="0" xfId="5" applyNumberFormat="1" applyFont="1" applyFill="1" applyBorder="1" applyAlignment="1" applyProtection="1">
      <alignment horizontal="center"/>
      <protection hidden="1"/>
    </xf>
    <xf numFmtId="168" fontId="32" fillId="0" borderId="0" xfId="0" applyNumberFormat="1" applyFont="1" applyFill="1" applyBorder="1" applyProtection="1"/>
    <xf numFmtId="0" fontId="32" fillId="0" borderId="21" xfId="0" applyFont="1" applyFill="1" applyBorder="1" applyProtection="1"/>
    <xf numFmtId="174" fontId="32" fillId="0" borderId="21" xfId="0" applyNumberFormat="1" applyFont="1" applyFill="1" applyBorder="1" applyProtection="1"/>
    <xf numFmtId="9" fontId="32" fillId="0" borderId="0" xfId="5" applyFont="1" applyFill="1" applyBorder="1" applyProtection="1"/>
    <xf numFmtId="174" fontId="32" fillId="0" borderId="0" xfId="5" applyNumberFormat="1" applyFont="1" applyFill="1" applyBorder="1" applyProtection="1">
      <protection hidden="1"/>
    </xf>
    <xf numFmtId="168" fontId="32" fillId="0" borderId="21" xfId="5" applyNumberFormat="1" applyFont="1" applyFill="1" applyBorder="1" applyProtection="1">
      <protection hidden="1"/>
    </xf>
    <xf numFmtId="168" fontId="32" fillId="0" borderId="21" xfId="5" applyNumberFormat="1" applyFont="1" applyFill="1" applyBorder="1" applyProtection="1"/>
    <xf numFmtId="168" fontId="32" fillId="0" borderId="21" xfId="0" applyNumberFormat="1" applyFont="1" applyFill="1" applyBorder="1" applyAlignment="1" applyProtection="1">
      <alignment horizontal="right"/>
    </xf>
    <xf numFmtId="174" fontId="32" fillId="0" borderId="148" xfId="4" applyNumberFormat="1" applyFont="1" applyFill="1" applyBorder="1" applyAlignment="1" applyProtection="1">
      <alignment horizontal="right"/>
    </xf>
    <xf numFmtId="9" fontId="32" fillId="0" borderId="149" xfId="5" applyFont="1" applyFill="1" applyBorder="1" applyAlignment="1" applyProtection="1">
      <alignment horizontal="left"/>
    </xf>
    <xf numFmtId="174" fontId="32" fillId="9" borderId="148" xfId="4" applyNumberFormat="1" applyFont="1" applyFill="1" applyBorder="1" applyAlignment="1" applyProtection="1">
      <alignment horizontal="right"/>
    </xf>
    <xf numFmtId="9" fontId="32" fillId="9" borderId="9" xfId="5" applyFont="1" applyFill="1" applyBorder="1" applyAlignment="1" applyProtection="1">
      <alignment horizontal="left"/>
    </xf>
    <xf numFmtId="168" fontId="32" fillId="0" borderId="148" xfId="5" applyNumberFormat="1" applyFont="1" applyFill="1" applyBorder="1" applyAlignment="1" applyProtection="1">
      <alignment horizontal="left"/>
      <protection hidden="1"/>
    </xf>
    <xf numFmtId="9" fontId="36" fillId="0" borderId="0" xfId="5" applyFont="1" applyFill="1" applyBorder="1" applyProtection="1"/>
    <xf numFmtId="8" fontId="36" fillId="0" borderId="0" xfId="5" applyNumberFormat="1" applyFont="1" applyFill="1" applyBorder="1" applyProtection="1"/>
    <xf numFmtId="8" fontId="36" fillId="0" borderId="0" xfId="0" applyNumberFormat="1" applyFont="1" applyFill="1" applyBorder="1" applyAlignment="1" applyProtection="1">
      <alignment horizontal="right"/>
    </xf>
    <xf numFmtId="3" fontId="123" fillId="0" borderId="0" xfId="0" applyNumberFormat="1" applyFont="1" applyFill="1" applyBorder="1" applyAlignment="1" applyProtection="1">
      <alignment horizontal="left"/>
      <protection locked="0"/>
    </xf>
    <xf numFmtId="9" fontId="43" fillId="0" borderId="0" xfId="5" applyFont="1" applyFill="1" applyBorder="1" applyProtection="1"/>
    <xf numFmtId="8" fontId="43" fillId="0" borderId="0" xfId="5" applyNumberFormat="1" applyFont="1" applyFill="1" applyBorder="1" applyProtection="1"/>
    <xf numFmtId="0" fontId="124" fillId="0" borderId="0" xfId="0" applyFont="1" applyFill="1" applyBorder="1" applyProtection="1"/>
    <xf numFmtId="0" fontId="32" fillId="9" borderId="147" xfId="0" applyFont="1" applyFill="1" applyBorder="1" applyAlignment="1" applyProtection="1">
      <alignment horizontal="left"/>
    </xf>
    <xf numFmtId="174" fontId="32" fillId="9" borderId="150" xfId="0" applyNumberFormat="1" applyFont="1" applyFill="1" applyBorder="1" applyProtection="1"/>
    <xf numFmtId="174" fontId="32" fillId="9" borderId="151" xfId="0" applyNumberFormat="1" applyFont="1" applyFill="1" applyBorder="1" applyProtection="1"/>
    <xf numFmtId="174" fontId="32" fillId="9" borderId="143" xfId="0" applyNumberFormat="1" applyFont="1" applyFill="1" applyBorder="1" applyProtection="1">
      <protection hidden="1"/>
    </xf>
    <xf numFmtId="174" fontId="32" fillId="9" borderId="151" xfId="0" applyNumberFormat="1" applyFont="1" applyFill="1" applyBorder="1" applyProtection="1">
      <protection hidden="1"/>
    </xf>
    <xf numFmtId="0" fontId="32" fillId="9" borderId="147" xfId="0" applyFont="1" applyFill="1" applyBorder="1" applyProtection="1"/>
    <xf numFmtId="0" fontId="32" fillId="9" borderId="117" xfId="0" applyFont="1" applyFill="1" applyBorder="1" applyAlignment="1" applyProtection="1">
      <alignment horizontal="left"/>
    </xf>
    <xf numFmtId="174" fontId="32" fillId="9" borderId="18" xfId="4" applyNumberFormat="1" applyFont="1" applyFill="1" applyBorder="1" applyAlignment="1" applyProtection="1">
      <alignment horizontal="right"/>
    </xf>
    <xf numFmtId="174" fontId="32" fillId="9" borderId="143" xfId="0" applyNumberFormat="1" applyFont="1" applyFill="1" applyBorder="1" applyProtection="1"/>
    <xf numFmtId="174" fontId="32" fillId="9" borderId="17" xfId="0" applyNumberFormat="1" applyFont="1" applyFill="1" applyBorder="1" applyAlignment="1" applyProtection="1">
      <alignment horizontal="right"/>
    </xf>
    <xf numFmtId="174" fontId="32" fillId="9" borderId="8" xfId="4" applyNumberFormat="1" applyFont="1" applyFill="1" applyBorder="1" applyAlignment="1" applyProtection="1">
      <alignment horizontal="right"/>
      <protection hidden="1"/>
    </xf>
    <xf numFmtId="174" fontId="32" fillId="9" borderId="17" xfId="0" applyNumberFormat="1" applyFont="1" applyFill="1" applyBorder="1" applyAlignment="1" applyProtection="1">
      <alignment horizontal="right"/>
      <protection hidden="1"/>
    </xf>
    <xf numFmtId="8" fontId="32" fillId="9" borderId="10" xfId="0" applyNumberFormat="1" applyFont="1" applyFill="1" applyBorder="1" applyAlignment="1" applyProtection="1">
      <alignment horizontal="center" vertical="center" wrapText="1"/>
    </xf>
    <xf numFmtId="8" fontId="35" fillId="9" borderId="25" xfId="0" applyNumberFormat="1" applyFont="1" applyFill="1" applyBorder="1" applyAlignment="1" applyProtection="1">
      <alignment horizontal="center" vertical="center" wrapText="1"/>
    </xf>
    <xf numFmtId="3" fontId="32" fillId="9" borderId="154" xfId="0" applyNumberFormat="1" applyFont="1" applyFill="1" applyBorder="1" applyAlignment="1">
      <alignment vertical="center" wrapText="1"/>
    </xf>
    <xf numFmtId="3" fontId="33" fillId="9" borderId="19" xfId="0" applyNumberFormat="1" applyFont="1" applyFill="1" applyBorder="1" applyAlignment="1">
      <alignment horizontal="center" vertical="center" wrapText="1"/>
    </xf>
    <xf numFmtId="3" fontId="33" fillId="9" borderId="156" xfId="0" applyNumberFormat="1" applyFont="1" applyFill="1" applyBorder="1" applyAlignment="1">
      <alignment horizontal="center" vertical="center" wrapText="1"/>
    </xf>
    <xf numFmtId="3" fontId="33" fillId="9" borderId="153" xfId="0" applyNumberFormat="1" applyFont="1" applyFill="1" applyBorder="1" applyAlignment="1">
      <alignment horizontal="center" vertical="center" wrapText="1"/>
    </xf>
    <xf numFmtId="0" fontId="42" fillId="0" borderId="0" xfId="0" applyFont="1" applyFill="1" applyBorder="1" applyAlignment="1" applyProtection="1">
      <alignment vertical="center"/>
    </xf>
    <xf numFmtId="8" fontId="43" fillId="0" borderId="0" xfId="0" applyNumberFormat="1" applyFont="1" applyFill="1" applyBorder="1" applyAlignment="1" applyProtection="1">
      <alignment horizontal="center" vertical="center"/>
    </xf>
    <xf numFmtId="8" fontId="43" fillId="0" borderId="0" xfId="0" applyNumberFormat="1" applyFont="1" applyFill="1" applyBorder="1" applyAlignment="1" applyProtection="1">
      <alignment vertical="center" wrapText="1"/>
    </xf>
    <xf numFmtId="0" fontId="39" fillId="0" borderId="0" xfId="0" applyFont="1" applyFill="1" applyBorder="1" applyAlignment="1" applyProtection="1">
      <alignment vertical="center" wrapText="1"/>
    </xf>
    <xf numFmtId="0" fontId="36" fillId="0" borderId="0" xfId="0" applyFont="1" applyFill="1" applyBorder="1" applyAlignment="1">
      <alignment horizontal="left" vertical="center"/>
    </xf>
    <xf numFmtId="8" fontId="37" fillId="0" borderId="0" xfId="0" applyNumberFormat="1" applyFont="1" applyFill="1" applyBorder="1" applyAlignment="1" applyProtection="1">
      <alignment horizontal="center"/>
    </xf>
    <xf numFmtId="0" fontId="43" fillId="0" borderId="0" xfId="0" applyFont="1" applyFill="1" applyBorder="1" applyAlignment="1" applyProtection="1">
      <alignment horizontal="left" vertical="center" wrapText="1"/>
    </xf>
    <xf numFmtId="8" fontId="51" fillId="0" borderId="0" xfId="0" applyNumberFormat="1" applyFont="1" applyFill="1" applyBorder="1" applyAlignment="1" applyProtection="1">
      <alignment horizontal="center"/>
    </xf>
    <xf numFmtId="8" fontId="48" fillId="0" borderId="0" xfId="0" applyNumberFormat="1" applyFont="1" applyFill="1" applyBorder="1" applyAlignment="1" applyProtection="1">
      <alignment horizontal="center"/>
    </xf>
    <xf numFmtId="174" fontId="32" fillId="0" borderId="157" xfId="0" applyNumberFormat="1" applyFont="1" applyFill="1" applyBorder="1" applyAlignment="1" applyProtection="1">
      <alignment vertical="center"/>
    </xf>
    <xf numFmtId="6" fontId="32" fillId="0" borderId="151" xfId="0" applyNumberFormat="1" applyFont="1" applyFill="1" applyBorder="1" applyAlignment="1" applyProtection="1">
      <alignment vertical="center"/>
    </xf>
    <xf numFmtId="6" fontId="32" fillId="0" borderId="0" xfId="0" applyNumberFormat="1" applyFont="1" applyFill="1" applyBorder="1" applyAlignment="1" applyProtection="1">
      <alignment vertical="center"/>
    </xf>
    <xf numFmtId="6" fontId="32" fillId="0" borderId="151" xfId="0" applyNumberFormat="1" applyFont="1" applyFill="1" applyBorder="1" applyAlignment="1" applyProtection="1">
      <alignment horizontal="center" vertical="center"/>
    </xf>
    <xf numFmtId="0" fontId="32" fillId="0" borderId="0" xfId="0" applyFont="1" applyFill="1" applyBorder="1" applyAlignment="1" applyProtection="1">
      <alignment vertical="center"/>
    </xf>
    <xf numFmtId="6" fontId="32" fillId="0" borderId="0" xfId="0" applyNumberFormat="1" applyFont="1" applyFill="1" applyBorder="1" applyAlignment="1" applyProtection="1">
      <alignment horizontal="center" vertical="center"/>
    </xf>
    <xf numFmtId="168" fontId="32" fillId="0" borderId="0" xfId="0" applyNumberFormat="1" applyFont="1" applyFill="1" applyBorder="1" applyAlignment="1" applyProtection="1">
      <alignment vertical="center"/>
    </xf>
    <xf numFmtId="0" fontId="39" fillId="0" borderId="0" xfId="0" applyFont="1" applyFill="1" applyBorder="1" applyAlignment="1" applyProtection="1">
      <alignment vertical="center"/>
    </xf>
    <xf numFmtId="168" fontId="43" fillId="0" borderId="0" xfId="0" applyNumberFormat="1" applyFont="1" applyFill="1" applyBorder="1" applyAlignment="1" applyProtection="1">
      <alignment vertical="center"/>
    </xf>
    <xf numFmtId="8" fontId="43" fillId="0" borderId="0" xfId="0" applyNumberFormat="1" applyFont="1" applyFill="1" applyBorder="1" applyAlignment="1" applyProtection="1">
      <alignment vertical="center"/>
    </xf>
    <xf numFmtId="8" fontId="36" fillId="0" borderId="159" xfId="0" applyNumberFormat="1" applyFont="1" applyFill="1" applyBorder="1" applyAlignment="1" applyProtection="1">
      <alignment vertical="center"/>
    </xf>
    <xf numFmtId="174" fontId="32" fillId="0" borderId="130" xfId="0" applyNumberFormat="1" applyFont="1" applyFill="1" applyBorder="1" applyAlignment="1" applyProtection="1">
      <alignment horizontal="right" vertical="center"/>
    </xf>
    <xf numFmtId="8" fontId="36" fillId="0" borderId="160" xfId="0" applyNumberFormat="1" applyFont="1" applyFill="1" applyBorder="1" applyAlignment="1" applyProtection="1">
      <alignment vertical="center"/>
    </xf>
    <xf numFmtId="174" fontId="32" fillId="0" borderId="86" xfId="0" applyNumberFormat="1" applyFont="1" applyFill="1" applyBorder="1" applyAlignment="1" applyProtection="1">
      <alignment horizontal="right" vertical="center"/>
    </xf>
    <xf numFmtId="166" fontId="32" fillId="0" borderId="74" xfId="0" applyNumberFormat="1" applyFont="1" applyFill="1" applyBorder="1" applyAlignment="1" applyProtection="1">
      <alignment horizontal="right" vertical="center"/>
    </xf>
    <xf numFmtId="174" fontId="32" fillId="0" borderId="83" xfId="0" applyNumberFormat="1" applyFont="1" applyFill="1" applyBorder="1" applyAlignment="1" applyProtection="1">
      <alignment horizontal="right" vertical="center"/>
    </xf>
    <xf numFmtId="0" fontId="36" fillId="0" borderId="161" xfId="0" applyFont="1" applyFill="1" applyBorder="1" applyProtection="1"/>
    <xf numFmtId="0" fontId="32" fillId="0" borderId="148" xfId="0" applyFont="1" applyFill="1" applyBorder="1" applyProtection="1"/>
    <xf numFmtId="174" fontId="32" fillId="0" borderId="7" xfId="0" applyNumberFormat="1" applyFont="1" applyFill="1" applyBorder="1" applyAlignment="1" applyProtection="1">
      <alignment horizontal="right"/>
    </xf>
    <xf numFmtId="3" fontId="42" fillId="0" borderId="0" xfId="0" applyNumberFormat="1" applyFont="1" applyFill="1" applyBorder="1" applyAlignment="1" applyProtection="1">
      <alignment horizontal="left"/>
      <protection locked="0"/>
    </xf>
    <xf numFmtId="174" fontId="36" fillId="11" borderId="162" xfId="0" applyNumberFormat="1" applyFont="1" applyFill="1" applyBorder="1" applyProtection="1">
      <protection locked="0"/>
    </xf>
    <xf numFmtId="8" fontId="32" fillId="0" borderId="10" xfId="0" applyNumberFormat="1" applyFont="1" applyFill="1" applyBorder="1" applyAlignment="1" applyProtection="1">
      <alignment horizontal="left"/>
    </xf>
    <xf numFmtId="174" fontId="32" fillId="0" borderId="27" xfId="0" applyNumberFormat="1" applyFont="1" applyFill="1" applyBorder="1" applyAlignment="1" applyProtection="1"/>
    <xf numFmtId="8" fontId="52" fillId="0" borderId="12" xfId="0" applyNumberFormat="1" applyFont="1" applyFill="1" applyBorder="1" applyProtection="1"/>
    <xf numFmtId="174" fontId="125" fillId="0" borderId="27" xfId="0" applyNumberFormat="1" applyFont="1" applyFill="1" applyBorder="1" applyAlignment="1" applyProtection="1"/>
    <xf numFmtId="179" fontId="53" fillId="3" borderId="26" xfId="0" applyNumberFormat="1" applyFont="1" applyFill="1" applyBorder="1" applyAlignment="1" applyProtection="1"/>
    <xf numFmtId="179" fontId="53" fillId="3" borderId="27" xfId="0" applyNumberFormat="1" applyFont="1" applyFill="1" applyBorder="1" applyAlignment="1" applyProtection="1"/>
    <xf numFmtId="8" fontId="32" fillId="0" borderId="12" xfId="0" applyNumberFormat="1" applyFont="1" applyFill="1" applyBorder="1" applyProtection="1"/>
    <xf numFmtId="179" fontId="35" fillId="0" borderId="26" xfId="0" applyNumberFormat="1" applyFont="1" applyFill="1" applyBorder="1" applyAlignment="1" applyProtection="1"/>
    <xf numFmtId="179" fontId="35" fillId="0" borderId="27" xfId="0" applyNumberFormat="1" applyFont="1" applyFill="1" applyBorder="1" applyAlignment="1" applyProtection="1"/>
    <xf numFmtId="179" fontId="53" fillId="0" borderId="26" xfId="0" applyNumberFormat="1" applyFont="1" applyFill="1" applyBorder="1" applyAlignment="1" applyProtection="1"/>
    <xf numFmtId="179" fontId="35" fillId="0" borderId="26" xfId="4" applyNumberFormat="1" applyFont="1" applyFill="1" applyBorder="1" applyAlignment="1" applyProtection="1"/>
    <xf numFmtId="179" fontId="35" fillId="0" borderId="27" xfId="4" applyNumberFormat="1" applyFont="1" applyFill="1" applyBorder="1" applyAlignment="1" applyProtection="1"/>
    <xf numFmtId="8" fontId="32" fillId="0" borderId="7" xfId="0" applyNumberFormat="1" applyFont="1" applyFill="1" applyBorder="1" applyProtection="1"/>
    <xf numFmtId="179" fontId="35" fillId="0" borderId="16" xfId="0" applyNumberFormat="1" applyFont="1" applyFill="1" applyBorder="1" applyProtection="1"/>
    <xf numFmtId="179" fontId="35" fillId="0" borderId="17" xfId="0" applyNumberFormat="1" applyFont="1" applyFill="1" applyBorder="1" applyProtection="1"/>
    <xf numFmtId="0" fontId="126" fillId="0" borderId="0" xfId="0" applyFont="1" applyFill="1" applyBorder="1" applyProtection="1"/>
    <xf numFmtId="8" fontId="127" fillId="0" borderId="0" xfId="0" applyNumberFormat="1" applyFont="1" applyFill="1" applyBorder="1" applyProtection="1"/>
    <xf numFmtId="168" fontId="32" fillId="8" borderId="7" xfId="5" applyNumberFormat="1" applyFont="1" applyFill="1" applyBorder="1" applyAlignment="1" applyProtection="1">
      <alignment horizontal="center" vertical="center" wrapText="1"/>
    </xf>
    <xf numFmtId="38" fontId="32" fillId="9" borderId="148" xfId="0" applyNumberFormat="1" applyFont="1" applyFill="1" applyBorder="1" applyAlignment="1" applyProtection="1">
      <alignment horizontal="left" vertical="center"/>
    </xf>
    <xf numFmtId="174" fontId="32" fillId="9" borderId="8" xfId="0" applyNumberFormat="1" applyFont="1" applyFill="1" applyBorder="1" applyAlignment="1" applyProtection="1">
      <alignment vertical="center"/>
    </xf>
    <xf numFmtId="166" fontId="32" fillId="9" borderId="18" xfId="0" applyNumberFormat="1" applyFont="1" applyFill="1" applyBorder="1" applyAlignment="1" applyProtection="1">
      <alignment vertical="center"/>
    </xf>
    <xf numFmtId="174" fontId="32" fillId="9" borderId="7" xfId="0" applyNumberFormat="1" applyFont="1" applyFill="1" applyBorder="1" applyAlignment="1" applyProtection="1">
      <alignment vertical="center"/>
    </xf>
    <xf numFmtId="3" fontId="42" fillId="0" borderId="0" xfId="0" applyNumberFormat="1" applyFont="1" applyFill="1" applyBorder="1" applyProtection="1">
      <protection hidden="1"/>
    </xf>
    <xf numFmtId="3" fontId="43" fillId="0" borderId="0" xfId="0" applyNumberFormat="1" applyFont="1" applyFill="1" applyBorder="1" applyProtection="1">
      <protection hidden="1"/>
    </xf>
    <xf numFmtId="0" fontId="37" fillId="0" borderId="0" xfId="0" applyFont="1" applyProtection="1">
      <protection hidden="1"/>
    </xf>
    <xf numFmtId="3" fontId="44" fillId="0" borderId="0" xfId="0" applyNumberFormat="1" applyFont="1" applyFill="1" applyBorder="1" applyProtection="1">
      <protection hidden="1"/>
    </xf>
    <xf numFmtId="3" fontId="42" fillId="0" borderId="0" xfId="0" applyNumberFormat="1" applyFont="1" applyFill="1" applyBorder="1" applyAlignment="1" applyProtection="1">
      <alignment horizontal="center"/>
      <protection hidden="1"/>
    </xf>
    <xf numFmtId="3" fontId="32" fillId="0" borderId="0" xfId="0" applyNumberFormat="1" applyFont="1" applyFill="1" applyBorder="1" applyProtection="1">
      <protection hidden="1"/>
    </xf>
    <xf numFmtId="3" fontId="32" fillId="0" borderId="0"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horizontal="center" vertical="center"/>
    </xf>
    <xf numFmtId="3" fontId="39" fillId="0" borderId="0" xfId="0" applyNumberFormat="1" applyFont="1" applyFill="1" applyBorder="1" applyProtection="1">
      <protection hidden="1"/>
    </xf>
    <xf numFmtId="3" fontId="39" fillId="0" borderId="0" xfId="0" applyNumberFormat="1" applyFont="1" applyFill="1" applyBorder="1" applyAlignment="1" applyProtection="1">
      <alignment horizontal="center"/>
      <protection hidden="1"/>
    </xf>
    <xf numFmtId="3" fontId="36" fillId="0" borderId="0" xfId="0" applyNumberFormat="1" applyFont="1" applyFill="1" applyBorder="1" applyProtection="1">
      <protection hidden="1"/>
    </xf>
    <xf numFmtId="3" fontId="43" fillId="0" borderId="0" xfId="0" applyNumberFormat="1" applyFont="1" applyFill="1" applyBorder="1" applyAlignment="1" applyProtection="1">
      <protection hidden="1"/>
    </xf>
    <xf numFmtId="3" fontId="32"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wrapText="1"/>
    </xf>
    <xf numFmtId="3" fontId="43" fillId="0" borderId="0" xfId="0" applyNumberFormat="1" applyFont="1" applyFill="1" applyBorder="1" applyAlignment="1" applyProtection="1">
      <alignment horizontal="center" vertical="center" wrapText="1"/>
      <protection hidden="1"/>
    </xf>
    <xf numFmtId="3" fontId="36" fillId="0" borderId="0" xfId="0" applyNumberFormat="1" applyFont="1" applyFill="1" applyBorder="1" applyAlignment="1" applyProtection="1">
      <alignment horizontal="center" vertical="center" wrapText="1"/>
      <protection hidden="1"/>
    </xf>
    <xf numFmtId="0" fontId="37" fillId="0" borderId="0" xfId="0" applyFont="1" applyFill="1" applyBorder="1" applyAlignment="1">
      <alignment horizontal="center" vertical="center" wrapText="1"/>
    </xf>
    <xf numFmtId="177" fontId="32" fillId="0" borderId="0" xfId="0" applyNumberFormat="1" applyFont="1" applyFill="1" applyBorder="1" applyAlignment="1" applyProtection="1">
      <alignment vertical="center" wrapText="1"/>
    </xf>
    <xf numFmtId="166" fontId="32" fillId="0" borderId="0" xfId="0" applyNumberFormat="1" applyFont="1" applyFill="1" applyBorder="1" applyAlignment="1" applyProtection="1">
      <alignment vertical="center" wrapText="1"/>
      <protection locked="0"/>
    </xf>
    <xf numFmtId="0" fontId="32" fillId="0" borderId="0" xfId="0" applyNumberFormat="1" applyFont="1" applyFill="1" applyBorder="1" applyAlignment="1" applyProtection="1">
      <alignment horizontal="right"/>
      <protection locked="0"/>
    </xf>
    <xf numFmtId="177" fontId="32" fillId="0" borderId="0" xfId="0" applyNumberFormat="1" applyFont="1" applyFill="1" applyBorder="1" applyAlignment="1" applyProtection="1">
      <alignment vertical="center" wrapText="1"/>
      <protection locked="0"/>
    </xf>
    <xf numFmtId="49" fontId="37" fillId="0" borderId="0" xfId="0" applyNumberFormat="1" applyFont="1" applyFill="1" applyBorder="1" applyAlignment="1" applyProtection="1">
      <alignment horizontal="center"/>
      <protection hidden="1"/>
    </xf>
    <xf numFmtId="3" fontId="37" fillId="0" borderId="0" xfId="0" applyNumberFormat="1" applyFont="1" applyFill="1" applyBorder="1" applyProtection="1">
      <protection hidden="1"/>
    </xf>
    <xf numFmtId="0" fontId="128" fillId="0" borderId="0" xfId="0" applyFont="1" applyFill="1" applyBorder="1" applyProtection="1"/>
    <xf numFmtId="177" fontId="35" fillId="0" borderId="130" xfId="0" applyNumberFormat="1" applyFont="1" applyFill="1" applyBorder="1" applyAlignment="1" applyProtection="1">
      <alignment vertical="center" wrapText="1"/>
    </xf>
    <xf numFmtId="177" fontId="35" fillId="0" borderId="164" xfId="0" applyNumberFormat="1" applyFont="1" applyFill="1" applyBorder="1" applyAlignment="1" applyProtection="1">
      <alignment vertical="center" wrapText="1"/>
    </xf>
    <xf numFmtId="177" fontId="35" fillId="0" borderId="132" xfId="0" applyNumberFormat="1" applyFont="1" applyFill="1" applyBorder="1" applyAlignment="1" applyProtection="1">
      <alignment vertical="center" wrapText="1"/>
    </xf>
    <xf numFmtId="8" fontId="36" fillId="0" borderId="19" xfId="0" applyNumberFormat="1" applyFont="1" applyFill="1" applyBorder="1" applyAlignment="1" applyProtection="1">
      <alignment vertical="center"/>
      <protection hidden="1"/>
    </xf>
    <xf numFmtId="174" fontId="36" fillId="0" borderId="24" xfId="0" applyNumberFormat="1" applyFont="1" applyFill="1" applyBorder="1" applyAlignment="1" applyProtection="1">
      <alignment vertical="center"/>
    </xf>
    <xf numFmtId="174" fontId="36" fillId="0" borderId="25" xfId="0" applyNumberFormat="1" applyFont="1" applyFill="1" applyBorder="1" applyAlignment="1" applyProtection="1">
      <alignment vertical="center"/>
    </xf>
    <xf numFmtId="8" fontId="36" fillId="0" borderId="0" xfId="0" applyNumberFormat="1" applyFont="1" applyFill="1" applyBorder="1" applyAlignment="1" applyProtection="1">
      <alignment vertical="center"/>
      <protection hidden="1"/>
    </xf>
    <xf numFmtId="174" fontId="36" fillId="0" borderId="26" xfId="0" applyNumberFormat="1" applyFont="1" applyFill="1" applyBorder="1" applyAlignment="1" applyProtection="1">
      <alignment vertical="center"/>
    </xf>
    <xf numFmtId="174" fontId="36" fillId="0" borderId="27" xfId="0" applyNumberFormat="1" applyFont="1" applyFill="1" applyBorder="1" applyAlignment="1" applyProtection="1">
      <alignment vertical="center"/>
    </xf>
    <xf numFmtId="8" fontId="36" fillId="0" borderId="20" xfId="0" applyNumberFormat="1" applyFont="1" applyFill="1" applyBorder="1" applyAlignment="1" applyProtection="1">
      <alignment vertical="center"/>
      <protection hidden="1"/>
    </xf>
    <xf numFmtId="174" fontId="36" fillId="0" borderId="40" xfId="0" applyNumberFormat="1" applyFont="1" applyFill="1" applyBorder="1" applyAlignment="1" applyProtection="1">
      <alignment vertical="center"/>
    </xf>
    <xf numFmtId="174" fontId="36" fillId="0" borderId="41" xfId="0" applyNumberFormat="1" applyFont="1" applyFill="1" applyBorder="1" applyAlignment="1" applyProtection="1">
      <alignment vertical="center"/>
    </xf>
    <xf numFmtId="174" fontId="36" fillId="0" borderId="28" xfId="0" applyNumberFormat="1" applyFont="1" applyFill="1" applyBorder="1" applyAlignment="1" applyProtection="1">
      <alignment vertical="center"/>
    </xf>
    <xf numFmtId="174" fontId="36" fillId="0" borderId="29" xfId="0" applyNumberFormat="1" applyFont="1" applyFill="1" applyBorder="1" applyAlignment="1" applyProtection="1">
      <alignment vertical="center"/>
    </xf>
    <xf numFmtId="8" fontId="36" fillId="0" borderId="165" xfId="0" applyNumberFormat="1" applyFont="1" applyFill="1" applyBorder="1" applyAlignment="1" applyProtection="1">
      <alignment vertical="center"/>
      <protection hidden="1"/>
    </xf>
    <xf numFmtId="8" fontId="36" fillId="0" borderId="166" xfId="0" applyNumberFormat="1" applyFont="1" applyFill="1" applyBorder="1" applyAlignment="1" applyProtection="1">
      <alignment vertical="center"/>
      <protection hidden="1"/>
    </xf>
    <xf numFmtId="8" fontId="36" fillId="0" borderId="167" xfId="0" applyNumberFormat="1" applyFont="1" applyFill="1" applyBorder="1" applyAlignment="1" applyProtection="1">
      <alignment vertical="center"/>
      <protection hidden="1"/>
    </xf>
    <xf numFmtId="174" fontId="36" fillId="0" borderId="30" xfId="0" applyNumberFormat="1" applyFont="1" applyFill="1" applyBorder="1" applyAlignment="1" applyProtection="1">
      <alignment vertical="center"/>
    </xf>
    <xf numFmtId="174" fontId="36" fillId="0" borderId="31" xfId="0" applyNumberFormat="1" applyFont="1" applyFill="1" applyBorder="1" applyAlignment="1" applyProtection="1">
      <alignment vertical="center"/>
    </xf>
    <xf numFmtId="174" fontId="37" fillId="0" borderId="10" xfId="0" applyNumberFormat="1" applyFont="1" applyFill="1" applyBorder="1" applyAlignment="1" applyProtection="1">
      <alignment vertical="center"/>
    </xf>
    <xf numFmtId="174" fontId="37" fillId="0" borderId="24" xfId="0" applyNumberFormat="1" applyFont="1" applyFill="1" applyBorder="1" applyAlignment="1" applyProtection="1">
      <alignment vertical="center"/>
    </xf>
    <xf numFmtId="174" fontId="37" fillId="0" borderId="25" xfId="0" applyNumberFormat="1" applyFont="1" applyFill="1" applyBorder="1" applyAlignment="1" applyProtection="1">
      <alignment vertical="center"/>
    </xf>
    <xf numFmtId="174" fontId="37" fillId="0" borderId="26" xfId="0" applyNumberFormat="1" applyFont="1" applyFill="1" applyBorder="1" applyAlignment="1" applyProtection="1">
      <alignment vertical="center"/>
    </xf>
    <xf numFmtId="174" fontId="37" fillId="0" borderId="15" xfId="0" applyNumberFormat="1" applyFont="1" applyFill="1" applyBorder="1" applyAlignment="1" applyProtection="1">
      <alignment vertical="center"/>
    </xf>
    <xf numFmtId="174" fontId="37" fillId="0" borderId="30" xfId="0" applyNumberFormat="1" applyFont="1" applyFill="1" applyBorder="1" applyAlignment="1" applyProtection="1">
      <alignment vertical="center"/>
    </xf>
    <xf numFmtId="174" fontId="37" fillId="0" borderId="31" xfId="0" applyNumberFormat="1" applyFont="1" applyFill="1" applyBorder="1" applyAlignment="1" applyProtection="1">
      <alignment vertical="center"/>
    </xf>
    <xf numFmtId="0" fontId="35" fillId="0" borderId="0" xfId="0" applyNumberFormat="1" applyFont="1" applyFill="1" applyBorder="1" applyAlignment="1" applyProtection="1">
      <alignment horizontal="center"/>
    </xf>
    <xf numFmtId="174" fontId="129" fillId="0" borderId="116" xfId="0" applyNumberFormat="1" applyFont="1" applyFill="1" applyBorder="1" applyAlignment="1" applyProtection="1">
      <alignment horizontal="right" vertical="center" wrapText="1"/>
    </xf>
    <xf numFmtId="3" fontId="130" fillId="0" borderId="0" xfId="0" applyNumberFormat="1" applyFont="1" applyFill="1" applyBorder="1" applyAlignment="1" applyProtection="1">
      <alignment horizontal="center"/>
      <protection hidden="1"/>
    </xf>
    <xf numFmtId="3" fontId="120" fillId="0" borderId="0" xfId="0" applyNumberFormat="1" applyFont="1" applyFill="1" applyBorder="1" applyProtection="1">
      <protection hidden="1"/>
    </xf>
    <xf numFmtId="3" fontId="37" fillId="0" borderId="10" xfId="0" applyNumberFormat="1" applyFont="1" applyFill="1" applyBorder="1" applyAlignment="1" applyProtection="1">
      <alignment vertical="center"/>
      <protection hidden="1"/>
    </xf>
    <xf numFmtId="3" fontId="37" fillId="0" borderId="34" xfId="0" applyNumberFormat="1" applyFont="1" applyFill="1" applyBorder="1" applyAlignment="1" applyProtection="1">
      <alignment vertical="center"/>
      <protection hidden="1"/>
    </xf>
    <xf numFmtId="3" fontId="131" fillId="0" borderId="0" xfId="0" applyNumberFormat="1" applyFont="1" applyFill="1" applyBorder="1" applyAlignment="1" applyProtection="1">
      <alignment horizontal="center" vertical="center"/>
      <protection hidden="1"/>
    </xf>
    <xf numFmtId="3" fontId="42" fillId="0" borderId="0" xfId="0" applyNumberFormat="1" applyFont="1" applyFill="1" applyBorder="1" applyAlignment="1" applyProtection="1">
      <protection hidden="1"/>
    </xf>
    <xf numFmtId="3" fontId="32" fillId="0" borderId="0" xfId="0" applyNumberFormat="1" applyFont="1" applyFill="1" applyBorder="1" applyAlignment="1" applyProtection="1">
      <alignment horizontal="center"/>
      <protection hidden="1"/>
    </xf>
    <xf numFmtId="3" fontId="32" fillId="0" borderId="0" xfId="0" applyNumberFormat="1" applyFont="1" applyFill="1" applyBorder="1" applyAlignment="1" applyProtection="1">
      <alignment horizontal="center"/>
    </xf>
    <xf numFmtId="3" fontId="32" fillId="0" borderId="0" xfId="0" applyNumberFormat="1" applyFont="1" applyFill="1" applyBorder="1" applyAlignment="1" applyProtection="1">
      <alignment horizontal="center" vertical="center" wrapText="1"/>
      <protection hidden="1"/>
    </xf>
    <xf numFmtId="3" fontId="132" fillId="0" borderId="0" xfId="0" applyNumberFormat="1" applyFont="1" applyFill="1" applyBorder="1" applyAlignment="1" applyProtection="1">
      <alignment horizontal="center"/>
      <protection hidden="1"/>
    </xf>
    <xf numFmtId="3" fontId="36" fillId="0" borderId="0" xfId="0" applyNumberFormat="1" applyFont="1" applyFill="1" applyBorder="1" applyAlignment="1" applyProtection="1">
      <alignment horizontal="center" vertical="center"/>
      <protection hidden="1"/>
    </xf>
    <xf numFmtId="8" fontId="37" fillId="0" borderId="11" xfId="0" applyNumberFormat="1" applyFont="1" applyFill="1" applyBorder="1" applyAlignment="1" applyProtection="1">
      <alignment vertical="center"/>
      <protection hidden="1"/>
    </xf>
    <xf numFmtId="8" fontId="37" fillId="0" borderId="168" xfId="0" applyNumberFormat="1" applyFont="1" applyFill="1" applyBorder="1" applyAlignment="1" applyProtection="1">
      <alignment vertical="center"/>
      <protection hidden="1"/>
    </xf>
    <xf numFmtId="174" fontId="37" fillId="0" borderId="28" xfId="0" applyNumberFormat="1" applyFont="1" applyFill="1" applyBorder="1" applyAlignment="1" applyProtection="1">
      <alignment vertical="center"/>
    </xf>
    <xf numFmtId="8" fontId="37" fillId="0" borderId="169" xfId="0" applyNumberFormat="1" applyFont="1" applyFill="1" applyBorder="1" applyAlignment="1" applyProtection="1">
      <alignment vertical="center"/>
      <protection hidden="1"/>
    </xf>
    <xf numFmtId="8" fontId="37" fillId="0" borderId="15" xfId="0" applyNumberFormat="1" applyFont="1" applyFill="1" applyBorder="1" applyAlignment="1" applyProtection="1">
      <alignment vertical="center"/>
      <protection hidden="1"/>
    </xf>
    <xf numFmtId="8" fontId="37" fillId="0" borderId="12" xfId="0" applyNumberFormat="1" applyFont="1" applyFill="1" applyBorder="1" applyAlignment="1" applyProtection="1">
      <alignment vertical="center"/>
      <protection hidden="1"/>
    </xf>
    <xf numFmtId="174" fontId="37" fillId="0" borderId="46" xfId="0" applyNumberFormat="1" applyFont="1" applyFill="1" applyBorder="1" applyAlignment="1" applyProtection="1">
      <alignment horizontal="right" vertical="center" wrapText="1"/>
    </xf>
    <xf numFmtId="174" fontId="37" fillId="0" borderId="24" xfId="0" applyNumberFormat="1" applyFont="1" applyFill="1" applyBorder="1" applyAlignment="1" applyProtection="1">
      <alignment horizontal="right" vertical="center" wrapText="1"/>
    </xf>
    <xf numFmtId="174" fontId="35" fillId="0" borderId="164" xfId="0" applyNumberFormat="1" applyFont="1" applyFill="1" applyBorder="1" applyAlignment="1" applyProtection="1">
      <alignment horizontal="right" vertical="center"/>
    </xf>
    <xf numFmtId="174" fontId="35" fillId="0" borderId="132" xfId="0" applyNumberFormat="1" applyFont="1" applyFill="1" applyBorder="1" applyAlignment="1" applyProtection="1">
      <alignment horizontal="right" vertical="center"/>
    </xf>
    <xf numFmtId="0" fontId="35" fillId="9" borderId="11" xfId="0" applyNumberFormat="1" applyFont="1" applyFill="1" applyBorder="1" applyAlignment="1" applyProtection="1">
      <alignment vertical="center"/>
      <protection hidden="1"/>
    </xf>
    <xf numFmtId="3" fontId="35" fillId="9" borderId="2" xfId="0" applyNumberFormat="1" applyFont="1" applyFill="1" applyBorder="1" applyAlignment="1" applyProtection="1">
      <alignment vertical="center"/>
      <protection hidden="1"/>
    </xf>
    <xf numFmtId="3" fontId="35" fillId="9" borderId="23" xfId="0" applyNumberFormat="1" applyFont="1" applyFill="1" applyBorder="1" applyAlignment="1" applyProtection="1">
      <alignment vertical="center"/>
      <protection hidden="1"/>
    </xf>
    <xf numFmtId="0" fontId="35" fillId="9" borderId="11" xfId="0" applyNumberFormat="1" applyFont="1" applyFill="1" applyBorder="1" applyAlignment="1" applyProtection="1">
      <alignment horizontal="left" vertical="center"/>
      <protection hidden="1"/>
    </xf>
    <xf numFmtId="3" fontId="40" fillId="0" borderId="0" xfId="0" applyNumberFormat="1" applyFont="1" applyBorder="1" applyAlignment="1">
      <alignment horizontal="center" vertical="center"/>
    </xf>
    <xf numFmtId="3" fontId="35" fillId="0" borderId="3" xfId="0" applyNumberFormat="1" applyFont="1" applyBorder="1" applyAlignment="1">
      <alignment vertical="center" wrapText="1"/>
    </xf>
    <xf numFmtId="177" fontId="35" fillId="9" borderId="5" xfId="0" applyNumberFormat="1" applyFont="1" applyFill="1" applyBorder="1" applyAlignment="1">
      <alignment horizontal="center" vertical="center"/>
    </xf>
    <xf numFmtId="3" fontId="37" fillId="0" borderId="0" xfId="0" applyNumberFormat="1" applyFont="1" applyBorder="1" applyAlignment="1">
      <alignment vertical="center"/>
    </xf>
    <xf numFmtId="3" fontId="37" fillId="0" borderId="0" xfId="0" applyNumberFormat="1" applyFont="1" applyBorder="1" applyAlignment="1">
      <alignment horizontal="left" vertical="center"/>
    </xf>
    <xf numFmtId="3" fontId="32" fillId="0" borderId="3" xfId="0" applyNumberFormat="1" applyFont="1" applyBorder="1" applyAlignment="1">
      <alignment vertical="center"/>
    </xf>
    <xf numFmtId="3" fontId="32" fillId="0" borderId="90" xfId="0" applyNumberFormat="1" applyFont="1" applyBorder="1" applyAlignment="1">
      <alignment horizontal="left" vertical="center"/>
    </xf>
    <xf numFmtId="3" fontId="42" fillId="0" borderId="0" xfId="0" applyNumberFormat="1" applyFont="1" applyBorder="1" applyAlignment="1">
      <alignment vertical="center"/>
    </xf>
    <xf numFmtId="3" fontId="35" fillId="0" borderId="0" xfId="0" applyNumberFormat="1" applyFont="1" applyBorder="1" applyAlignment="1">
      <alignment vertical="center"/>
    </xf>
    <xf numFmtId="9" fontId="35" fillId="0" borderId="0" xfId="0" applyNumberFormat="1" applyFont="1" applyBorder="1" applyAlignment="1">
      <alignment vertical="center"/>
    </xf>
    <xf numFmtId="3" fontId="44" fillId="0" borderId="0" xfId="0" applyNumberFormat="1" applyFont="1" applyFill="1" applyBorder="1" applyAlignment="1" applyProtection="1">
      <alignment horizontal="left" vertical="center"/>
      <protection locked="0"/>
    </xf>
    <xf numFmtId="3" fontId="37" fillId="0" borderId="0" xfId="0" applyNumberFormat="1" applyFont="1" applyFill="1" applyBorder="1" applyAlignment="1">
      <alignment vertical="center"/>
    </xf>
    <xf numFmtId="3" fontId="38" fillId="0" borderId="0" xfId="0" applyNumberFormat="1" applyFont="1" applyAlignment="1">
      <alignment horizontal="center" vertical="center"/>
    </xf>
    <xf numFmtId="3" fontId="34" fillId="0" borderId="0" xfId="0" applyNumberFormat="1" applyFont="1" applyBorder="1" applyAlignment="1">
      <alignment vertical="center"/>
    </xf>
    <xf numFmtId="3" fontId="41" fillId="0" borderId="0" xfId="0" applyNumberFormat="1" applyFont="1" applyBorder="1" applyAlignment="1">
      <alignment vertical="center"/>
    </xf>
    <xf numFmtId="3" fontId="40" fillId="0" borderId="0" xfId="0" applyNumberFormat="1" applyFont="1" applyFill="1" applyBorder="1" applyAlignment="1" applyProtection="1">
      <alignment horizontal="left" vertical="center"/>
      <protection locked="0"/>
    </xf>
    <xf numFmtId="3" fontId="40" fillId="0" borderId="0" xfId="0" applyNumberFormat="1" applyFont="1" applyBorder="1" applyAlignment="1">
      <alignment vertical="center"/>
    </xf>
    <xf numFmtId="3" fontId="41" fillId="0" borderId="0" xfId="0" applyNumberFormat="1" applyFont="1" applyFill="1" applyBorder="1" applyAlignment="1">
      <alignment vertical="center"/>
    </xf>
    <xf numFmtId="3" fontId="39" fillId="0" borderId="0" xfId="0" applyNumberFormat="1" applyFont="1" applyFill="1" applyBorder="1" applyAlignment="1" applyProtection="1">
      <alignment vertical="center"/>
    </xf>
    <xf numFmtId="174" fontId="32" fillId="0" borderId="173" xfId="0" applyNumberFormat="1" applyFont="1" applyBorder="1" applyAlignment="1">
      <alignment vertical="center"/>
    </xf>
    <xf numFmtId="174" fontId="133" fillId="0" borderId="173" xfId="0" applyNumberFormat="1" applyFont="1" applyBorder="1" applyAlignment="1">
      <alignment vertical="center"/>
    </xf>
    <xf numFmtId="3" fontId="36" fillId="0" borderId="2" xfId="0" applyNumberFormat="1" applyFont="1" applyBorder="1" applyAlignment="1">
      <alignment vertical="center"/>
    </xf>
    <xf numFmtId="3" fontId="36" fillId="0" borderId="2" xfId="0" applyNumberFormat="1" applyFont="1" applyFill="1" applyBorder="1" applyAlignment="1">
      <alignment vertical="center"/>
    </xf>
    <xf numFmtId="174" fontId="32" fillId="0" borderId="173" xfId="0" applyNumberFormat="1" applyFont="1" applyFill="1" applyBorder="1" applyAlignment="1" applyProtection="1">
      <alignment vertical="center"/>
    </xf>
    <xf numFmtId="3" fontId="36" fillId="0" borderId="0" xfId="0" applyNumberFormat="1" applyFont="1" applyBorder="1" applyAlignment="1">
      <alignment vertical="center"/>
    </xf>
    <xf numFmtId="3" fontId="32" fillId="0" borderId="0" xfId="0" applyNumberFormat="1" applyFont="1" applyBorder="1" applyAlignment="1">
      <alignment vertical="center"/>
    </xf>
    <xf numFmtId="3" fontId="32" fillId="0" borderId="0" xfId="0" applyNumberFormat="1" applyFont="1" applyFill="1" applyBorder="1" applyAlignment="1">
      <alignment horizontal="left" vertical="center"/>
    </xf>
    <xf numFmtId="0" fontId="36" fillId="0" borderId="0" xfId="0" applyFont="1" applyAlignment="1">
      <alignment vertical="center"/>
    </xf>
    <xf numFmtId="3" fontId="43" fillId="0" borderId="0" xfId="0" applyNumberFormat="1" applyFont="1" applyBorder="1" applyAlignment="1" applyProtection="1">
      <alignment vertical="center"/>
      <protection locked="0"/>
    </xf>
    <xf numFmtId="3" fontId="43" fillId="0" borderId="0" xfId="0" applyNumberFormat="1" applyFont="1" applyBorder="1" applyAlignment="1">
      <alignment vertical="center"/>
    </xf>
    <xf numFmtId="177" fontId="32" fillId="9" borderId="5" xfId="0" applyNumberFormat="1" applyFont="1" applyFill="1" applyBorder="1" applyAlignment="1">
      <alignment horizontal="center" vertical="center"/>
    </xf>
    <xf numFmtId="3" fontId="134" fillId="0" borderId="174" xfId="0" applyNumberFormat="1" applyFont="1" applyBorder="1" applyAlignment="1" applyProtection="1">
      <alignment vertical="center"/>
    </xf>
    <xf numFmtId="3" fontId="135" fillId="0" borderId="175" xfId="0" applyNumberFormat="1" applyFont="1" applyBorder="1" applyAlignment="1" applyProtection="1">
      <alignment vertical="center"/>
    </xf>
    <xf numFmtId="3" fontId="134" fillId="0" borderId="175" xfId="0" applyNumberFormat="1" applyFont="1" applyBorder="1" applyAlignment="1" applyProtection="1">
      <alignment vertical="center"/>
    </xf>
    <xf numFmtId="4" fontId="134" fillId="0" borderId="175" xfId="0" applyNumberFormat="1" applyFont="1" applyFill="1" applyBorder="1" applyAlignment="1" applyProtection="1">
      <alignment vertical="center"/>
    </xf>
    <xf numFmtId="3" fontId="134" fillId="0" borderId="175" xfId="0" applyNumberFormat="1" applyFont="1" applyBorder="1" applyAlignment="1">
      <alignment vertical="center"/>
    </xf>
    <xf numFmtId="3" fontId="134" fillId="0" borderId="176" xfId="0" applyNumberFormat="1" applyFont="1" applyBorder="1" applyAlignment="1">
      <alignment vertical="center"/>
    </xf>
    <xf numFmtId="3" fontId="136" fillId="0" borderId="177" xfId="0" applyNumberFormat="1" applyFont="1" applyBorder="1" applyAlignment="1" applyProtection="1">
      <alignment vertical="center"/>
    </xf>
    <xf numFmtId="3" fontId="134" fillId="0" borderId="0" xfId="0" applyNumberFormat="1" applyFont="1" applyBorder="1" applyAlignment="1" applyProtection="1">
      <alignment vertical="center"/>
    </xf>
    <xf numFmtId="3" fontId="137" fillId="0" borderId="0" xfId="0" applyNumberFormat="1" applyFont="1" applyBorder="1" applyAlignment="1" applyProtection="1">
      <alignment vertical="center"/>
    </xf>
    <xf numFmtId="3" fontId="134" fillId="0" borderId="0" xfId="0" applyNumberFormat="1" applyFont="1" applyBorder="1" applyAlignment="1">
      <alignment vertical="center"/>
    </xf>
    <xf numFmtId="3" fontId="134" fillId="0" borderId="178" xfId="0" applyNumberFormat="1" applyFont="1" applyBorder="1" applyAlignment="1">
      <alignment vertical="center"/>
    </xf>
    <xf numFmtId="3" fontId="135" fillId="0" borderId="177" xfId="0" applyNumberFormat="1" applyFont="1" applyBorder="1" applyAlignment="1" applyProtection="1">
      <alignment vertical="center"/>
    </xf>
    <xf numFmtId="4" fontId="134" fillId="8" borderId="0" xfId="0" applyNumberFormat="1" applyFont="1" applyFill="1" applyBorder="1" applyAlignment="1" applyProtection="1">
      <alignment vertical="center"/>
    </xf>
    <xf numFmtId="3" fontId="134" fillId="0" borderId="177" xfId="0" applyNumberFormat="1" applyFont="1" applyBorder="1" applyAlignment="1" applyProtection="1">
      <alignment vertical="center"/>
    </xf>
    <xf numFmtId="3" fontId="135" fillId="0" borderId="179" xfId="0" applyNumberFormat="1" applyFont="1" applyBorder="1" applyAlignment="1" applyProtection="1">
      <alignment vertical="center"/>
    </xf>
    <xf numFmtId="3" fontId="135" fillId="0" borderId="180" xfId="0" applyNumberFormat="1" applyFont="1" applyBorder="1" applyAlignment="1" applyProtection="1">
      <alignment vertical="center"/>
    </xf>
    <xf numFmtId="3" fontId="134" fillId="0" borderId="180" xfId="0" applyNumberFormat="1" applyFont="1" applyBorder="1" applyAlignment="1" applyProtection="1">
      <alignment vertical="center"/>
    </xf>
    <xf numFmtId="4" fontId="135" fillId="0" borderId="181" xfId="0" applyNumberFormat="1" applyFont="1" applyBorder="1" applyAlignment="1" applyProtection="1">
      <alignment vertical="center"/>
    </xf>
    <xf numFmtId="3" fontId="134" fillId="0" borderId="0" xfId="0" applyNumberFormat="1" applyFont="1" applyFill="1" applyBorder="1" applyAlignment="1" applyProtection="1">
      <alignment vertical="center"/>
    </xf>
    <xf numFmtId="4" fontId="134" fillId="0" borderId="0" xfId="0" applyNumberFormat="1" applyFont="1" applyBorder="1" applyAlignment="1" applyProtection="1">
      <alignment horizontal="center" vertical="center"/>
    </xf>
    <xf numFmtId="3" fontId="134" fillId="0" borderId="182" xfId="0" applyNumberFormat="1" applyFont="1" applyBorder="1" applyAlignment="1" applyProtection="1">
      <alignment vertical="center"/>
    </xf>
    <xf numFmtId="3" fontId="134" fillId="0" borderId="183" xfId="0" applyNumberFormat="1" applyFont="1" applyBorder="1" applyAlignment="1" applyProtection="1">
      <alignment vertical="center"/>
    </xf>
    <xf numFmtId="3" fontId="135" fillId="0" borderId="184" xfId="0" applyNumberFormat="1" applyFont="1" applyBorder="1" applyAlignment="1" applyProtection="1">
      <alignment vertical="center"/>
    </xf>
    <xf numFmtId="3" fontId="135" fillId="0" borderId="185" xfId="0" applyNumberFormat="1" applyFont="1" applyBorder="1" applyAlignment="1" applyProtection="1">
      <alignment vertical="center"/>
    </xf>
    <xf numFmtId="3" fontId="134" fillId="0" borderId="185" xfId="0" applyNumberFormat="1" applyFont="1" applyBorder="1" applyAlignment="1" applyProtection="1">
      <alignment vertical="center"/>
    </xf>
    <xf numFmtId="4" fontId="135" fillId="0" borderId="186" xfId="0" applyNumberFormat="1" applyFont="1" applyBorder="1" applyAlignment="1" applyProtection="1">
      <alignment vertical="center"/>
    </xf>
    <xf numFmtId="3" fontId="134" fillId="0" borderId="183" xfId="0" applyNumberFormat="1" applyFont="1" applyBorder="1" applyAlignment="1">
      <alignment vertical="center"/>
    </xf>
    <xf numFmtId="3" fontId="134" fillId="0" borderId="187" xfId="0" applyNumberFormat="1" applyFont="1" applyBorder="1" applyAlignment="1">
      <alignment vertical="center"/>
    </xf>
    <xf numFmtId="0" fontId="61" fillId="0" borderId="0" xfId="0" applyFont="1" applyAlignment="1"/>
    <xf numFmtId="0" fontId="62" fillId="0" borderId="0" xfId="0" applyFont="1" applyAlignment="1"/>
    <xf numFmtId="0" fontId="37" fillId="0" borderId="0" xfId="0" applyFont="1" applyAlignment="1"/>
    <xf numFmtId="0" fontId="63" fillId="0" borderId="0" xfId="0" applyFont="1" applyAlignment="1"/>
    <xf numFmtId="0" fontId="64" fillId="0" borderId="0" xfId="0" applyFont="1" applyAlignment="1"/>
    <xf numFmtId="174" fontId="32" fillId="0" borderId="48" xfId="0" applyNumberFormat="1" applyFont="1" applyFill="1" applyBorder="1" applyAlignment="1">
      <alignment vertical="center"/>
    </xf>
    <xf numFmtId="3" fontId="42" fillId="0" borderId="0" xfId="0" applyNumberFormat="1" applyFont="1" applyFill="1" applyBorder="1" applyAlignment="1" applyProtection="1">
      <alignment horizontal="left"/>
    </xf>
    <xf numFmtId="3" fontId="35" fillId="0" borderId="0" xfId="0" applyNumberFormat="1" applyFont="1" applyBorder="1"/>
    <xf numFmtId="4" fontId="35" fillId="0" borderId="0" xfId="0" applyNumberFormat="1" applyFont="1" applyBorder="1"/>
    <xf numFmtId="3" fontId="35" fillId="0" borderId="0" xfId="0" applyNumberFormat="1" applyFont="1" applyFill="1" applyBorder="1"/>
    <xf numFmtId="0" fontId="39" fillId="0" borderId="0" xfId="0" applyFont="1" applyFill="1" applyBorder="1"/>
    <xf numFmtId="3" fontId="44" fillId="0" borderId="0" xfId="0" applyNumberFormat="1" applyFont="1" applyFill="1" applyBorder="1" applyAlignment="1" applyProtection="1">
      <alignment horizontal="left"/>
      <protection locked="0"/>
    </xf>
    <xf numFmtId="3" fontId="32" fillId="0" borderId="0" xfId="0" applyNumberFormat="1" applyFont="1" applyFill="1" applyBorder="1" applyAlignment="1">
      <alignment horizontal="center"/>
    </xf>
    <xf numFmtId="0" fontId="36" fillId="0" borderId="0" xfId="0" applyFont="1"/>
    <xf numFmtId="177" fontId="36" fillId="0" borderId="173" xfId="0" applyNumberFormat="1" applyFont="1" applyFill="1" applyBorder="1" applyAlignment="1">
      <alignment horizontal="right" vertical="center"/>
    </xf>
    <xf numFmtId="177" fontId="36" fillId="0" borderId="0" xfId="0" applyNumberFormat="1" applyFont="1" applyFill="1" applyBorder="1" applyAlignment="1">
      <alignment horizontal="right" vertical="center"/>
    </xf>
    <xf numFmtId="177" fontId="36" fillId="10" borderId="172" xfId="0" applyNumberFormat="1" applyFont="1" applyFill="1" applyBorder="1" applyAlignment="1" applyProtection="1">
      <alignment horizontal="right" vertical="center"/>
      <protection locked="0"/>
    </xf>
    <xf numFmtId="166" fontId="36" fillId="10" borderId="79" xfId="0" applyNumberFormat="1" applyFont="1" applyFill="1" applyBorder="1" applyAlignment="1" applyProtection="1">
      <alignment horizontal="right" vertical="center"/>
      <protection locked="0"/>
    </xf>
    <xf numFmtId="166" fontId="36" fillId="10" borderId="103" xfId="0" applyNumberFormat="1" applyFont="1" applyFill="1" applyBorder="1" applyAlignment="1" applyProtection="1">
      <alignment horizontal="right" vertical="center"/>
      <protection locked="0"/>
    </xf>
    <xf numFmtId="177" fontId="36" fillId="10" borderId="81" xfId="0" applyNumberFormat="1" applyFont="1" applyFill="1" applyBorder="1" applyAlignment="1" applyProtection="1">
      <alignment horizontal="right" vertical="center"/>
      <protection locked="0"/>
    </xf>
    <xf numFmtId="177" fontId="36" fillId="0" borderId="173" xfId="0" applyNumberFormat="1" applyFont="1" applyBorder="1" applyAlignment="1">
      <alignment horizontal="right" vertical="center"/>
    </xf>
    <xf numFmtId="0" fontId="36" fillId="0" borderId="0" xfId="0" applyFont="1" applyFill="1"/>
    <xf numFmtId="177" fontId="32" fillId="0" borderId="0" xfId="0" applyNumberFormat="1" applyFont="1" applyFill="1" applyBorder="1" applyAlignment="1" applyProtection="1">
      <alignment horizontal="right" vertical="center"/>
    </xf>
    <xf numFmtId="177" fontId="36" fillId="0" borderId="172" xfId="0" applyNumberFormat="1" applyFont="1" applyFill="1" applyBorder="1" applyAlignment="1">
      <alignment horizontal="right" vertical="center"/>
    </xf>
    <xf numFmtId="166" fontId="36" fillId="10" borderId="172" xfId="0" applyNumberFormat="1" applyFont="1" applyFill="1" applyBorder="1" applyAlignment="1" applyProtection="1">
      <alignment horizontal="right" vertical="center"/>
      <protection locked="0"/>
    </xf>
    <xf numFmtId="177" fontId="36" fillId="0" borderId="81" xfId="0" applyNumberFormat="1" applyFont="1" applyFill="1" applyBorder="1" applyAlignment="1" applyProtection="1">
      <alignment horizontal="right" vertical="center"/>
    </xf>
    <xf numFmtId="177" fontId="36" fillId="0" borderId="103" xfId="0" applyNumberFormat="1" applyFont="1" applyFill="1" applyBorder="1" applyAlignment="1">
      <alignment horizontal="right" vertical="center"/>
    </xf>
    <xf numFmtId="3" fontId="32" fillId="0" borderId="148" xfId="0" applyNumberFormat="1" applyFont="1" applyFill="1" applyBorder="1" applyProtection="1"/>
    <xf numFmtId="177" fontId="32" fillId="0" borderId="117" xfId="0" applyNumberFormat="1" applyFont="1" applyBorder="1" applyAlignment="1" applyProtection="1">
      <alignment horizontal="right" vertical="center"/>
    </xf>
    <xf numFmtId="177" fontId="32" fillId="0" borderId="199" xfId="0" applyNumberFormat="1" applyFont="1" applyBorder="1" applyAlignment="1" applyProtection="1">
      <alignment horizontal="right" vertical="center"/>
    </xf>
    <xf numFmtId="177" fontId="32" fillId="0" borderId="119" xfId="0" applyNumberFormat="1" applyFont="1" applyBorder="1" applyAlignment="1" applyProtection="1">
      <alignment horizontal="right" vertical="center"/>
    </xf>
    <xf numFmtId="177" fontId="32" fillId="0" borderId="192" xfId="0" applyNumberFormat="1" applyFont="1" applyBorder="1" applyAlignment="1" applyProtection="1">
      <alignment horizontal="right" vertical="center"/>
    </xf>
    <xf numFmtId="3" fontId="32" fillId="0" borderId="0" xfId="0" applyNumberFormat="1" applyFont="1" applyFill="1" applyBorder="1" applyProtection="1"/>
    <xf numFmtId="1" fontId="32" fillId="0" borderId="0" xfId="0" applyNumberFormat="1" applyFont="1" applyFill="1" applyBorder="1" applyAlignment="1" applyProtection="1">
      <alignment horizontal="center" vertical="center" wrapText="1"/>
      <protection hidden="1"/>
    </xf>
    <xf numFmtId="174" fontId="36" fillId="0" borderId="0" xfId="0" applyNumberFormat="1" applyFont="1" applyFill="1" applyBorder="1" applyAlignment="1" applyProtection="1">
      <alignment horizontal="center" vertical="center"/>
      <protection locked="0"/>
    </xf>
    <xf numFmtId="174" fontId="32" fillId="0" borderId="162" xfId="0" applyNumberFormat="1" applyFont="1" applyFill="1" applyBorder="1" applyAlignment="1" applyProtection="1">
      <alignment horizontal="center" vertical="center"/>
    </xf>
    <xf numFmtId="174" fontId="32" fillId="0" borderId="136" xfId="0" applyNumberFormat="1" applyFont="1" applyFill="1" applyBorder="1" applyAlignment="1" applyProtection="1">
      <alignment horizontal="center" vertical="center"/>
    </xf>
    <xf numFmtId="174" fontId="32" fillId="0" borderId="0" xfId="0" applyNumberFormat="1" applyFont="1" applyFill="1" applyBorder="1" applyAlignment="1" applyProtection="1">
      <alignment horizontal="center" vertical="center"/>
    </xf>
    <xf numFmtId="3" fontId="32" fillId="0" borderId="0" xfId="0" applyNumberFormat="1" applyFont="1" applyFill="1" applyBorder="1" applyAlignment="1" applyProtection="1">
      <alignment horizontal="left" vertical="center" wrapText="1"/>
    </xf>
    <xf numFmtId="177" fontId="32" fillId="0" borderId="0" xfId="0" applyNumberFormat="1" applyFont="1" applyBorder="1" applyAlignment="1" applyProtection="1">
      <alignment horizontal="right" vertical="center"/>
    </xf>
    <xf numFmtId="177" fontId="32" fillId="12" borderId="0" xfId="0" applyNumberFormat="1" applyFont="1" applyFill="1" applyBorder="1" applyAlignment="1" applyProtection="1">
      <alignment horizontal="right" vertical="center"/>
    </xf>
    <xf numFmtId="3" fontId="133" fillId="0" borderId="0" xfId="0" applyNumberFormat="1" applyFont="1" applyFill="1" applyBorder="1" applyAlignment="1" applyProtection="1">
      <alignment horizontal="center"/>
    </xf>
    <xf numFmtId="3" fontId="133" fillId="12" borderId="200" xfId="0" applyNumberFormat="1" applyFont="1" applyFill="1" applyBorder="1" applyAlignment="1">
      <alignment horizontal="center" vertical="center" wrapText="1"/>
    </xf>
    <xf numFmtId="3" fontId="133" fillId="12" borderId="201" xfId="0" applyNumberFormat="1" applyFont="1" applyFill="1" applyBorder="1" applyAlignment="1">
      <alignment horizontal="center" vertical="center" wrapText="1"/>
    </xf>
    <xf numFmtId="3" fontId="133" fillId="12" borderId="202" xfId="0" applyNumberFormat="1" applyFont="1" applyFill="1" applyBorder="1" applyAlignment="1">
      <alignment horizontal="center" vertical="center" wrapText="1"/>
    </xf>
    <xf numFmtId="3" fontId="133" fillId="12" borderId="203" xfId="0" applyNumberFormat="1" applyFont="1" applyFill="1" applyBorder="1" applyAlignment="1">
      <alignment horizontal="center" vertical="center" wrapText="1"/>
    </xf>
    <xf numFmtId="3" fontId="133" fillId="0" borderId="0" xfId="0" applyNumberFormat="1" applyFont="1" applyFill="1" applyBorder="1" applyAlignment="1">
      <alignment horizontal="center" vertical="center" wrapText="1"/>
    </xf>
    <xf numFmtId="3" fontId="133" fillId="11" borderId="204" xfId="0" applyNumberFormat="1" applyFont="1" applyFill="1" applyBorder="1" applyAlignment="1" applyProtection="1">
      <alignment wrapText="1"/>
      <protection locked="0"/>
    </xf>
    <xf numFmtId="177" fontId="124" fillId="11" borderId="205" xfId="0" applyNumberFormat="1" applyFont="1" applyFill="1" applyBorder="1" applyAlignment="1" applyProtection="1">
      <alignment horizontal="right" vertical="center"/>
      <protection locked="0"/>
    </xf>
    <xf numFmtId="166" fontId="124" fillId="11" borderId="206" xfId="5" applyNumberFormat="1" applyFont="1" applyFill="1" applyBorder="1" applyAlignment="1" applyProtection="1">
      <alignment horizontal="right"/>
      <protection locked="0"/>
    </xf>
    <xf numFmtId="177" fontId="124" fillId="0" borderId="206" xfId="5" applyNumberFormat="1" applyFont="1" applyFill="1" applyBorder="1" applyAlignment="1" applyProtection="1">
      <alignment horizontal="right"/>
    </xf>
    <xf numFmtId="166" fontId="124" fillId="12" borderId="206" xfId="0" applyNumberFormat="1" applyFont="1" applyFill="1" applyBorder="1" applyAlignment="1" applyProtection="1">
      <alignment horizontal="right" vertical="center"/>
      <protection locked="0"/>
    </xf>
    <xf numFmtId="177" fontId="124" fillId="11" borderId="206" xfId="0" applyNumberFormat="1" applyFont="1" applyFill="1" applyBorder="1" applyAlignment="1" applyProtection="1">
      <alignment horizontal="right" vertical="center"/>
      <protection locked="0"/>
    </xf>
    <xf numFmtId="177" fontId="124" fillId="0" borderId="207" xfId="0" applyNumberFormat="1" applyFont="1" applyFill="1" applyBorder="1" applyAlignment="1">
      <alignment horizontal="right" vertical="center"/>
    </xf>
    <xf numFmtId="177" fontId="124" fillId="0" borderId="0" xfId="0" applyNumberFormat="1" applyFont="1" applyFill="1" applyBorder="1" applyAlignment="1">
      <alignment horizontal="right" vertical="center"/>
    </xf>
    <xf numFmtId="3" fontId="133" fillId="11" borderId="208" xfId="0" applyNumberFormat="1" applyFont="1" applyFill="1" applyBorder="1" applyAlignment="1" applyProtection="1">
      <alignment wrapText="1"/>
      <protection locked="0"/>
    </xf>
    <xf numFmtId="177" fontId="124" fillId="11" borderId="209" xfId="0" applyNumberFormat="1" applyFont="1" applyFill="1" applyBorder="1" applyAlignment="1" applyProtection="1">
      <alignment horizontal="right" vertical="center"/>
      <protection locked="0"/>
    </xf>
    <xf numFmtId="166" fontId="124" fillId="11" borderId="210" xfId="5" applyNumberFormat="1" applyFont="1" applyFill="1" applyBorder="1" applyAlignment="1" applyProtection="1">
      <alignment horizontal="right"/>
      <protection locked="0"/>
    </xf>
    <xf numFmtId="177" fontId="124" fillId="0" borderId="210" xfId="5" applyNumberFormat="1" applyFont="1" applyFill="1" applyBorder="1" applyAlignment="1" applyProtection="1">
      <alignment horizontal="right"/>
    </xf>
    <xf numFmtId="166" fontId="124" fillId="12" borderId="210" xfId="0" applyNumberFormat="1" applyFont="1" applyFill="1" applyBorder="1" applyAlignment="1" applyProtection="1">
      <alignment horizontal="right" vertical="center"/>
      <protection locked="0"/>
    </xf>
    <xf numFmtId="177" fontId="124" fillId="11" borderId="210" xfId="0" applyNumberFormat="1" applyFont="1" applyFill="1" applyBorder="1" applyAlignment="1" applyProtection="1">
      <alignment horizontal="right" vertical="center"/>
      <protection locked="0"/>
    </xf>
    <xf numFmtId="177" fontId="124" fillId="0" borderId="211" xfId="0" applyNumberFormat="1" applyFont="1" applyFill="1" applyBorder="1" applyAlignment="1">
      <alignment horizontal="right" vertical="center"/>
    </xf>
    <xf numFmtId="3" fontId="133" fillId="0" borderId="212" xfId="0" applyNumberFormat="1" applyFont="1" applyFill="1" applyBorder="1" applyAlignment="1" applyProtection="1">
      <alignment horizontal="center" vertical="center"/>
    </xf>
    <xf numFmtId="177" fontId="133" fillId="0" borderId="213" xfId="0" applyNumberFormat="1" applyFont="1" applyBorder="1" applyAlignment="1" applyProtection="1">
      <alignment horizontal="right" vertical="center"/>
    </xf>
    <xf numFmtId="177" fontId="133" fillId="12" borderId="214" xfId="0" applyNumberFormat="1" applyFont="1" applyFill="1" applyBorder="1" applyAlignment="1" applyProtection="1">
      <alignment horizontal="right" vertical="center"/>
    </xf>
    <xf numFmtId="177" fontId="133" fillId="0" borderId="214" xfId="0" applyNumberFormat="1" applyFont="1" applyBorder="1" applyAlignment="1" applyProtection="1">
      <alignment horizontal="right" vertical="center"/>
    </xf>
    <xf numFmtId="177" fontId="133" fillId="0" borderId="215" xfId="0" applyNumberFormat="1" applyFont="1" applyBorder="1" applyAlignment="1" applyProtection="1">
      <alignment horizontal="right" vertical="center"/>
    </xf>
    <xf numFmtId="177" fontId="133" fillId="0" borderId="0" xfId="0" applyNumberFormat="1" applyFont="1" applyFill="1" applyBorder="1" applyAlignment="1" applyProtection="1">
      <alignment horizontal="right" vertical="center"/>
    </xf>
    <xf numFmtId="178" fontId="32" fillId="0" borderId="0" xfId="0" applyNumberFormat="1" applyFont="1"/>
    <xf numFmtId="0" fontId="32" fillId="0" borderId="0" xfId="0" applyFont="1" applyFill="1" applyBorder="1"/>
    <xf numFmtId="178" fontId="37" fillId="0" borderId="0" xfId="0" applyNumberFormat="1" applyFont="1"/>
    <xf numFmtId="0" fontId="37" fillId="0" borderId="0" xfId="0" applyFont="1" applyFill="1" applyBorder="1"/>
    <xf numFmtId="177" fontId="36" fillId="3" borderId="103" xfId="0" applyNumberFormat="1" applyFont="1" applyFill="1" applyBorder="1" applyAlignment="1" applyProtection="1">
      <alignment horizontal="right" vertical="center"/>
      <protection locked="0"/>
    </xf>
    <xf numFmtId="177" fontId="32" fillId="8" borderId="199" xfId="0" applyNumberFormat="1" applyFont="1" applyFill="1" applyBorder="1" applyAlignment="1" applyProtection="1">
      <alignment horizontal="right" vertical="center"/>
    </xf>
    <xf numFmtId="177" fontId="32" fillId="8" borderId="117" xfId="0" applyNumberFormat="1" applyFont="1" applyFill="1" applyBorder="1" applyAlignment="1" applyProtection="1">
      <alignment horizontal="right" vertical="center"/>
    </xf>
    <xf numFmtId="3" fontId="39" fillId="0" borderId="0" xfId="0" applyNumberFormat="1" applyFont="1" applyFill="1" applyBorder="1" applyProtection="1"/>
    <xf numFmtId="3" fontId="43" fillId="0" borderId="0" xfId="0" applyNumberFormat="1" applyFont="1" applyFill="1" applyBorder="1" applyAlignment="1">
      <alignment vertical="center"/>
    </xf>
    <xf numFmtId="174" fontId="32" fillId="0" borderId="142" xfId="0" applyNumberFormat="1" applyFont="1" applyBorder="1" applyProtection="1"/>
    <xf numFmtId="3" fontId="32" fillId="0" borderId="0" xfId="0" applyNumberFormat="1" applyFont="1" applyBorder="1"/>
    <xf numFmtId="168" fontId="32" fillId="12" borderId="153" xfId="0" applyNumberFormat="1" applyFont="1" applyFill="1" applyBorder="1" applyAlignment="1" applyProtection="1">
      <alignment horizontal="center" vertical="center"/>
    </xf>
    <xf numFmtId="3" fontId="32" fillId="0" borderId="0" xfId="0" applyNumberFormat="1" applyFont="1" applyBorder="1" applyAlignment="1">
      <alignment horizontal="center"/>
    </xf>
    <xf numFmtId="174" fontId="37" fillId="0" borderId="87" xfId="0" applyNumberFormat="1" applyFont="1" applyFill="1" applyBorder="1" applyProtection="1"/>
    <xf numFmtId="174" fontId="37" fillId="0" borderId="106" xfId="0" applyNumberFormat="1" applyFont="1" applyFill="1" applyBorder="1" applyProtection="1"/>
    <xf numFmtId="3" fontId="36" fillId="0" borderId="0" xfId="0" applyNumberFormat="1" applyFont="1" applyBorder="1"/>
    <xf numFmtId="3" fontId="32" fillId="0" borderId="0" xfId="0" applyNumberFormat="1" applyFont="1" applyFill="1" applyBorder="1"/>
    <xf numFmtId="174" fontId="138" fillId="0" borderId="75" xfId="0" applyNumberFormat="1" applyFont="1" applyFill="1" applyBorder="1" applyProtection="1"/>
    <xf numFmtId="174" fontId="138" fillId="0" borderId="87" xfId="0" applyNumberFormat="1" applyFont="1" applyFill="1" applyBorder="1" applyProtection="1"/>
    <xf numFmtId="174" fontId="37" fillId="0" borderId="75" xfId="0" applyNumberFormat="1" applyFont="1" applyFill="1" applyBorder="1" applyProtection="1"/>
    <xf numFmtId="174" fontId="37" fillId="0" borderId="84" xfId="0" applyNumberFormat="1" applyFont="1" applyFill="1" applyBorder="1" applyProtection="1"/>
    <xf numFmtId="174" fontId="37" fillId="0" borderId="222" xfId="0" applyNumberFormat="1" applyFont="1" applyFill="1" applyBorder="1" applyProtection="1"/>
    <xf numFmtId="174" fontId="138" fillId="0" borderId="84" xfId="0" applyNumberFormat="1" applyFont="1" applyFill="1" applyBorder="1" applyProtection="1"/>
    <xf numFmtId="3" fontId="43" fillId="0" borderId="0" xfId="0" applyNumberFormat="1" applyFont="1" applyFill="1" applyBorder="1"/>
    <xf numFmtId="166" fontId="32" fillId="0" borderId="0" xfId="5" applyNumberFormat="1" applyFont="1" applyBorder="1" applyAlignment="1" applyProtection="1">
      <alignment horizontal="center"/>
    </xf>
    <xf numFmtId="3" fontId="65" fillId="0" borderId="53" xfId="0" applyNumberFormat="1" applyFont="1" applyFill="1" applyBorder="1" applyAlignment="1">
      <alignment horizontal="center" vertical="center"/>
    </xf>
    <xf numFmtId="3" fontId="36" fillId="0" borderId="0" xfId="0" applyNumberFormat="1" applyFont="1" applyAlignment="1">
      <alignment horizontal="center"/>
    </xf>
    <xf numFmtId="174" fontId="32" fillId="0" borderId="51" xfId="0" applyNumberFormat="1" applyFont="1" applyBorder="1" applyProtection="1"/>
    <xf numFmtId="177" fontId="36" fillId="0" borderId="0" xfId="0" applyNumberFormat="1" applyFont="1" applyFill="1" applyBorder="1"/>
    <xf numFmtId="168" fontId="32" fillId="12" borderId="220" xfId="0" applyNumberFormat="1" applyFont="1" applyFill="1" applyBorder="1" applyAlignment="1" applyProtection="1">
      <alignment horizontal="center" vertical="center"/>
    </xf>
    <xf numFmtId="177" fontId="32" fillId="0" borderId="143" xfId="0" applyNumberFormat="1" applyFont="1" applyFill="1" applyBorder="1" applyProtection="1"/>
    <xf numFmtId="177" fontId="32" fillId="0" borderId="142" xfId="0" applyNumberFormat="1" applyFont="1" applyBorder="1" applyProtection="1"/>
    <xf numFmtId="177" fontId="37" fillId="0" borderId="107" xfId="0" applyNumberFormat="1" applyFont="1" applyFill="1" applyBorder="1" applyProtection="1"/>
    <xf numFmtId="177" fontId="37" fillId="0" borderId="87" xfId="0" applyNumberFormat="1" applyFont="1" applyFill="1" applyBorder="1" applyProtection="1"/>
    <xf numFmtId="177" fontId="37" fillId="0" borderId="106" xfId="0" applyNumberFormat="1" applyFont="1" applyFill="1" applyBorder="1" applyProtection="1"/>
    <xf numFmtId="177" fontId="32" fillId="0" borderId="38" xfId="0" applyNumberFormat="1" applyFont="1" applyBorder="1" applyProtection="1"/>
    <xf numFmtId="177" fontId="37" fillId="0" borderId="224" xfId="0" applyNumberFormat="1" applyFont="1" applyFill="1" applyBorder="1" applyProtection="1"/>
    <xf numFmtId="177" fontId="37" fillId="0" borderId="84" xfId="0" applyNumberFormat="1" applyFont="1" applyFill="1" applyBorder="1" applyProtection="1"/>
    <xf numFmtId="177" fontId="37" fillId="0" borderId="222" xfId="0" applyNumberFormat="1" applyFont="1" applyFill="1" applyBorder="1" applyProtection="1"/>
    <xf numFmtId="177" fontId="32" fillId="0" borderId="50" xfId="0" applyNumberFormat="1" applyFont="1" applyBorder="1" applyProtection="1"/>
    <xf numFmtId="177" fontId="32" fillId="0" borderId="35" xfId="0" applyNumberFormat="1" applyFont="1" applyBorder="1" applyProtection="1"/>
    <xf numFmtId="3" fontId="36" fillId="0" borderId="0" xfId="0" applyNumberFormat="1" applyFont="1" applyFill="1" applyBorder="1"/>
    <xf numFmtId="177" fontId="32" fillId="0" borderId="0" xfId="0" applyNumberFormat="1" applyFont="1" applyFill="1" applyBorder="1" applyProtection="1"/>
    <xf numFmtId="177" fontId="32" fillId="0" borderId="225" xfId="0" applyNumberFormat="1" applyFont="1" applyFill="1" applyBorder="1" applyProtection="1"/>
    <xf numFmtId="3" fontId="32" fillId="0" borderId="159" xfId="0" applyNumberFormat="1" applyFont="1" applyBorder="1" applyAlignment="1">
      <alignment horizontal="center" vertical="center"/>
    </xf>
    <xf numFmtId="177" fontId="36" fillId="11" borderId="226" xfId="0" applyNumberFormat="1" applyFont="1" applyFill="1" applyBorder="1" applyProtection="1">
      <protection locked="0"/>
    </xf>
    <xf numFmtId="177" fontId="36" fillId="11" borderId="162" xfId="0" applyNumberFormat="1" applyFont="1" applyFill="1" applyBorder="1" applyProtection="1">
      <protection locked="0"/>
    </xf>
    <xf numFmtId="177" fontId="32" fillId="0" borderId="51" xfId="0" applyNumberFormat="1" applyFont="1" applyBorder="1" applyProtection="1"/>
    <xf numFmtId="177" fontId="36" fillId="11" borderId="227" xfId="0" applyNumberFormat="1" applyFont="1" applyFill="1" applyBorder="1" applyProtection="1">
      <protection locked="0"/>
    </xf>
    <xf numFmtId="177" fontId="36" fillId="11" borderId="37" xfId="0" applyNumberFormat="1" applyFont="1" applyFill="1" applyBorder="1" applyProtection="1">
      <protection locked="0"/>
    </xf>
    <xf numFmtId="177" fontId="36" fillId="11" borderId="36" xfId="0" applyNumberFormat="1" applyFont="1" applyFill="1" applyBorder="1" applyProtection="1">
      <protection locked="0"/>
    </xf>
    <xf numFmtId="177" fontId="32" fillId="0" borderId="173" xfId="0" applyNumberFormat="1" applyFont="1" applyBorder="1" applyProtection="1"/>
    <xf numFmtId="3" fontId="32" fillId="9" borderId="154" xfId="0" applyNumberFormat="1" applyFont="1" applyFill="1" applyBorder="1" applyAlignment="1" applyProtection="1">
      <alignment horizontal="left" vertical="center"/>
    </xf>
    <xf numFmtId="168" fontId="32" fillId="9" borderId="229" xfId="0" applyNumberFormat="1" applyFont="1" applyFill="1" applyBorder="1" applyAlignment="1" applyProtection="1">
      <alignment horizontal="center" vertical="center"/>
    </xf>
    <xf numFmtId="168" fontId="32" fillId="9" borderId="24" xfId="0" applyNumberFormat="1" applyFont="1" applyFill="1" applyBorder="1" applyAlignment="1" applyProtection="1">
      <alignment horizontal="center" vertical="center"/>
    </xf>
    <xf numFmtId="168" fontId="32" fillId="9" borderId="221" xfId="0" applyNumberFormat="1" applyFont="1" applyFill="1" applyBorder="1" applyAlignment="1" applyProtection="1">
      <alignment horizontal="center" vertical="center"/>
    </xf>
    <xf numFmtId="168" fontId="32" fillId="9" borderId="153" xfId="0" applyNumberFormat="1" applyFont="1" applyFill="1" applyBorder="1" applyAlignment="1" applyProtection="1">
      <alignment horizontal="center" vertical="center"/>
    </xf>
    <xf numFmtId="3" fontId="42" fillId="0" borderId="0" xfId="0" applyNumberFormat="1" applyFont="1" applyFill="1" applyBorder="1" applyProtection="1"/>
    <xf numFmtId="3" fontId="44" fillId="0" borderId="0" xfId="0" applyNumberFormat="1" applyFont="1" applyFill="1" applyBorder="1" applyProtection="1"/>
    <xf numFmtId="3" fontId="39" fillId="0" borderId="0" xfId="0" applyNumberFormat="1" applyFont="1" applyFill="1" applyBorder="1" applyAlignment="1" applyProtection="1">
      <alignment horizontal="left"/>
      <protection locked="0"/>
    </xf>
    <xf numFmtId="3" fontId="39" fillId="0" borderId="0" xfId="0" applyNumberFormat="1" applyFont="1" applyFill="1" applyBorder="1" applyAlignment="1" applyProtection="1">
      <alignment horizontal="center" vertical="center"/>
    </xf>
    <xf numFmtId="3" fontId="36" fillId="0" borderId="0" xfId="0" applyNumberFormat="1" applyFont="1" applyFill="1" applyBorder="1" applyProtection="1"/>
    <xf numFmtId="3" fontId="140" fillId="0" borderId="0" xfId="0" applyNumberFormat="1" applyFont="1" applyFill="1" applyBorder="1" applyProtection="1"/>
    <xf numFmtId="177" fontId="36" fillId="0" borderId="230" xfId="0" applyNumberFormat="1" applyFont="1" applyFill="1" applyBorder="1" applyAlignment="1" applyProtection="1">
      <alignment horizontal="center"/>
    </xf>
    <xf numFmtId="3" fontId="43" fillId="8" borderId="0" xfId="0" applyNumberFormat="1" applyFont="1" applyFill="1" applyBorder="1" applyProtection="1"/>
    <xf numFmtId="177" fontId="36" fillId="0" borderId="81" xfId="0" applyNumberFormat="1" applyFont="1" applyFill="1" applyBorder="1" applyProtection="1"/>
    <xf numFmtId="177" fontId="36" fillId="0" borderId="160" xfId="0" applyNumberFormat="1" applyFont="1" applyFill="1" applyBorder="1" applyAlignment="1" applyProtection="1">
      <alignment horizontal="center"/>
    </xf>
    <xf numFmtId="174" fontId="36" fillId="0" borderId="231" xfId="0" applyNumberFormat="1" applyFont="1" applyFill="1" applyBorder="1" applyAlignment="1" applyProtection="1">
      <alignment horizontal="center"/>
    </xf>
    <xf numFmtId="174" fontId="36" fillId="0" borderId="2" xfId="0" applyNumberFormat="1" applyFont="1" applyFill="1" applyBorder="1" applyAlignment="1" applyProtection="1">
      <alignment horizontal="center" vertical="center"/>
    </xf>
    <xf numFmtId="3" fontId="141" fillId="0" borderId="0" xfId="0" applyNumberFormat="1" applyFont="1" applyFill="1" applyBorder="1" applyProtection="1"/>
    <xf numFmtId="3" fontId="36" fillId="0" borderId="0" xfId="0" applyNumberFormat="1" applyFont="1" applyFill="1" applyBorder="1" applyProtection="1">
      <protection locked="0"/>
    </xf>
    <xf numFmtId="3" fontId="32" fillId="0" borderId="169" xfId="0" applyNumberFormat="1" applyFont="1" applyFill="1" applyBorder="1" applyAlignment="1" applyProtection="1">
      <alignment vertical="center" wrapText="1"/>
    </xf>
    <xf numFmtId="3" fontId="36" fillId="0" borderId="235" xfId="0" applyNumberFormat="1" applyFont="1" applyFill="1" applyBorder="1" applyAlignment="1" applyProtection="1">
      <alignment horizontal="center"/>
    </xf>
    <xf numFmtId="3" fontId="32" fillId="0" borderId="86" xfId="0" applyNumberFormat="1" applyFont="1" applyFill="1" applyBorder="1" applyAlignment="1" applyProtection="1">
      <alignment vertical="center" wrapText="1"/>
    </xf>
    <xf numFmtId="3" fontId="36" fillId="0" borderId="236" xfId="0" applyNumberFormat="1" applyFont="1" applyFill="1" applyBorder="1" applyAlignment="1" applyProtection="1">
      <alignment horizontal="center"/>
    </xf>
    <xf numFmtId="174" fontId="36" fillId="0" borderId="74" xfId="0" applyNumberFormat="1" applyFont="1" applyFill="1" applyBorder="1" applyAlignment="1" applyProtection="1">
      <alignment horizontal="center" vertical="center"/>
    </xf>
    <xf numFmtId="3" fontId="36" fillId="12" borderId="237" xfId="0" applyNumberFormat="1" applyFont="1" applyFill="1" applyBorder="1" applyProtection="1"/>
    <xf numFmtId="174" fontId="36" fillId="0" borderId="162" xfId="5" applyNumberFormat="1" applyFont="1" applyFill="1" applyBorder="1" applyAlignment="1" applyProtection="1">
      <alignment horizontal="center"/>
    </xf>
    <xf numFmtId="3" fontId="36" fillId="0" borderId="239" xfId="0" applyNumberFormat="1" applyFont="1" applyFill="1" applyBorder="1" applyAlignment="1" applyProtection="1">
      <alignment horizontal="center"/>
    </xf>
    <xf numFmtId="3" fontId="32" fillId="0" borderId="0" xfId="0" applyNumberFormat="1" applyFont="1" applyFill="1" applyBorder="1" applyAlignment="1" applyProtection="1">
      <alignment wrapText="1"/>
    </xf>
    <xf numFmtId="0" fontId="37" fillId="0" borderId="0" xfId="0" applyFont="1" applyAlignment="1">
      <alignment horizontal="center"/>
    </xf>
    <xf numFmtId="0" fontId="34" fillId="0" borderId="77" xfId="0" applyFont="1" applyBorder="1"/>
    <xf numFmtId="0" fontId="34" fillId="0" borderId="0" xfId="0" applyFont="1" applyBorder="1"/>
    <xf numFmtId="0" fontId="34" fillId="0" borderId="0" xfId="0" applyFont="1" applyBorder="1" applyAlignment="1">
      <alignment horizontal="center"/>
    </xf>
    <xf numFmtId="178" fontId="43" fillId="0" borderId="0" xfId="3" applyNumberFormat="1" applyFont="1"/>
    <xf numFmtId="166" fontId="43" fillId="0" borderId="0" xfId="0" applyNumberFormat="1" applyFont="1"/>
    <xf numFmtId="174" fontId="43" fillId="0" borderId="0" xfId="0" applyNumberFormat="1" applyFont="1" applyFill="1"/>
    <xf numFmtId="0" fontId="43" fillId="0" borderId="0" xfId="0" applyFont="1" applyFill="1"/>
    <xf numFmtId="49" fontId="43" fillId="0" borderId="0" xfId="0" applyNumberFormat="1" applyFont="1"/>
    <xf numFmtId="0" fontId="32" fillId="0" borderId="0" xfId="0" applyFont="1" applyAlignment="1">
      <alignment horizontal="center" vertical="center" wrapText="1"/>
    </xf>
    <xf numFmtId="0" fontId="39" fillId="0" borderId="0" xfId="0" applyFont="1" applyAlignment="1">
      <alignment horizontal="center" vertical="center" wrapText="1"/>
    </xf>
    <xf numFmtId="0" fontId="39" fillId="0" borderId="0" xfId="0" applyFont="1" applyBorder="1"/>
    <xf numFmtId="0" fontId="43" fillId="0" borderId="0" xfId="0" applyFont="1" applyBorder="1"/>
    <xf numFmtId="174" fontId="32" fillId="0" borderId="0" xfId="0" applyNumberFormat="1" applyFont="1" applyFill="1" applyBorder="1"/>
    <xf numFmtId="166" fontId="36" fillId="0" borderId="0" xfId="0" applyNumberFormat="1" applyFont="1" applyBorder="1" applyAlignment="1">
      <alignment horizontal="center"/>
    </xf>
    <xf numFmtId="166" fontId="36" fillId="0" borderId="0" xfId="0" applyNumberFormat="1" applyFont="1" applyBorder="1" applyAlignment="1">
      <alignment horizontal="center" wrapText="1"/>
    </xf>
    <xf numFmtId="0" fontId="37" fillId="0" borderId="0" xfId="0" applyFont="1" applyBorder="1" applyAlignment="1">
      <alignment wrapText="1"/>
    </xf>
    <xf numFmtId="0" fontId="43" fillId="0" borderId="0" xfId="0" applyFont="1" applyFill="1" applyBorder="1"/>
    <xf numFmtId="0" fontId="36" fillId="0" borderId="0" xfId="0" applyFont="1" applyFill="1" applyBorder="1"/>
    <xf numFmtId="166" fontId="32" fillId="0" borderId="0" xfId="0" applyNumberFormat="1" applyFont="1" applyFill="1" applyBorder="1" applyAlignment="1">
      <alignment horizontal="center"/>
    </xf>
    <xf numFmtId="0" fontId="36" fillId="0" borderId="0" xfId="0" applyFont="1" applyBorder="1"/>
    <xf numFmtId="177" fontId="32" fillId="0" borderId="0" xfId="0" applyNumberFormat="1" applyFont="1" applyFill="1" applyBorder="1"/>
    <xf numFmtId="168" fontId="36" fillId="0" borderId="0" xfId="0" applyNumberFormat="1" applyFont="1"/>
    <xf numFmtId="9" fontId="36" fillId="0" borderId="0" xfId="0" applyNumberFormat="1" applyFont="1" applyFill="1" applyBorder="1" applyAlignment="1">
      <alignment horizontal="right"/>
    </xf>
    <xf numFmtId="0" fontId="41" fillId="0" borderId="0" xfId="0" applyFont="1" applyFill="1"/>
    <xf numFmtId="3" fontId="41" fillId="0" borderId="0" xfId="0" applyNumberFormat="1" applyFont="1"/>
    <xf numFmtId="0" fontId="41" fillId="0" borderId="0" xfId="0" applyFont="1"/>
    <xf numFmtId="168" fontId="41" fillId="0" borderId="0" xfId="0" applyNumberFormat="1" applyFont="1"/>
    <xf numFmtId="1" fontId="36" fillId="0" borderId="0" xfId="0" applyNumberFormat="1" applyFont="1" applyFill="1" applyBorder="1" applyAlignment="1">
      <alignment horizontal="center" vertical="center"/>
    </xf>
    <xf numFmtId="1" fontId="37" fillId="0" borderId="0" xfId="0" applyNumberFormat="1" applyFont="1" applyFill="1" applyBorder="1" applyAlignment="1">
      <alignment horizontal="center" vertical="center"/>
    </xf>
    <xf numFmtId="0" fontId="32" fillId="12" borderId="246" xfId="0" applyFont="1" applyFill="1" applyBorder="1" applyAlignment="1" applyProtection="1">
      <alignment horizontal="left" vertical="center" wrapText="1"/>
    </xf>
    <xf numFmtId="0" fontId="32" fillId="12" borderId="144" xfId="0" applyFont="1" applyFill="1" applyBorder="1" applyAlignment="1" applyProtection="1">
      <alignment horizontal="left" vertical="center" wrapText="1"/>
    </xf>
    <xf numFmtId="0" fontId="32" fillId="12" borderId="247" xfId="0" applyFont="1" applyFill="1" applyBorder="1" applyAlignment="1" applyProtection="1">
      <alignment horizontal="left" vertical="center" wrapText="1"/>
    </xf>
    <xf numFmtId="0" fontId="32" fillId="12" borderId="188" xfId="0" applyFont="1" applyFill="1" applyBorder="1" applyAlignment="1" applyProtection="1">
      <alignment horizontal="center" wrapText="1"/>
    </xf>
    <xf numFmtId="0" fontId="32" fillId="12" borderId="248" xfId="0" applyFont="1" applyFill="1" applyBorder="1" applyAlignment="1" applyProtection="1">
      <alignment horizontal="center" wrapText="1"/>
    </xf>
    <xf numFmtId="0" fontId="32" fillId="0" borderId="0" xfId="0" applyFont="1" applyFill="1" applyBorder="1" applyAlignment="1">
      <alignment horizontal="center" wrapText="1"/>
    </xf>
    <xf numFmtId="166" fontId="36" fillId="0" borderId="249" xfId="0" applyNumberFormat="1" applyFont="1" applyBorder="1" applyAlignment="1" applyProtection="1">
      <alignment horizontal="right"/>
      <protection locked="0"/>
    </xf>
    <xf numFmtId="166" fontId="36" fillId="0" borderId="0" xfId="0" applyNumberFormat="1" applyFont="1" applyFill="1" applyBorder="1" applyAlignment="1">
      <alignment horizontal="center"/>
    </xf>
    <xf numFmtId="166" fontId="36" fillId="0" borderId="250" xfId="0" applyNumberFormat="1" applyFont="1" applyBorder="1" applyAlignment="1" applyProtection="1">
      <alignment horizontal="right"/>
      <protection locked="0"/>
    </xf>
    <xf numFmtId="0" fontId="32" fillId="0" borderId="0" xfId="0" applyFont="1" applyBorder="1" applyProtection="1"/>
    <xf numFmtId="166" fontId="36" fillId="0" borderId="251" xfId="0" applyNumberFormat="1" applyFont="1" applyFill="1" applyBorder="1" applyAlignment="1" applyProtection="1">
      <alignment horizontal="right"/>
      <protection locked="0"/>
    </xf>
    <xf numFmtId="166" fontId="32" fillId="0" borderId="250" xfId="0" applyNumberFormat="1" applyFont="1" applyFill="1" applyBorder="1" applyAlignment="1" applyProtection="1">
      <alignment horizontal="right"/>
      <protection locked="0"/>
    </xf>
    <xf numFmtId="166" fontId="36" fillId="0" borderId="188" xfId="0" applyNumberFormat="1" applyFont="1" applyFill="1" applyBorder="1" applyAlignment="1" applyProtection="1">
      <alignment horizontal="right"/>
      <protection locked="0"/>
    </xf>
    <xf numFmtId="166" fontId="32" fillId="15" borderId="11" xfId="0" applyNumberFormat="1" applyFont="1" applyFill="1" applyBorder="1" applyAlignment="1" applyProtection="1">
      <alignment horizontal="right"/>
      <protection locked="0"/>
    </xf>
    <xf numFmtId="166" fontId="32" fillId="15" borderId="252" xfId="0" applyNumberFormat="1" applyFont="1" applyFill="1" applyBorder="1" applyAlignment="1" applyProtection="1">
      <alignment horizontal="right"/>
      <protection locked="0"/>
    </xf>
    <xf numFmtId="0" fontId="32" fillId="0" borderId="150" xfId="0" applyFont="1" applyBorder="1" applyProtection="1"/>
    <xf numFmtId="166" fontId="36" fillId="0" borderId="139" xfId="0" applyNumberFormat="1" applyFont="1" applyBorder="1" applyAlignment="1" applyProtection="1">
      <alignment horizontal="right"/>
    </xf>
    <xf numFmtId="166" fontId="36" fillId="0" borderId="0" xfId="0" applyNumberFormat="1" applyFont="1" applyBorder="1" applyAlignment="1" applyProtection="1">
      <alignment horizontal="right"/>
    </xf>
    <xf numFmtId="177" fontId="36" fillId="0" borderId="0" xfId="0" applyNumberFormat="1" applyFont="1" applyBorder="1" applyAlignment="1" applyProtection="1">
      <alignment horizontal="right"/>
    </xf>
    <xf numFmtId="0" fontId="37" fillId="0" borderId="0" xfId="0" applyFont="1" applyBorder="1" applyAlignment="1">
      <alignment horizontal="right"/>
    </xf>
    <xf numFmtId="177" fontId="36" fillId="0" borderId="0" xfId="0" applyNumberFormat="1" applyFont="1" applyBorder="1" applyAlignment="1" applyProtection="1">
      <alignment horizontal="right" wrapText="1"/>
    </xf>
    <xf numFmtId="0" fontId="37" fillId="0" borderId="0" xfId="0" applyFont="1" applyBorder="1" applyAlignment="1" applyProtection="1">
      <alignment horizontal="right" wrapText="1"/>
    </xf>
    <xf numFmtId="0" fontId="37" fillId="0" borderId="0" xfId="0" applyFont="1" applyBorder="1" applyAlignment="1" applyProtection="1">
      <alignment horizontal="right"/>
    </xf>
    <xf numFmtId="3" fontId="36" fillId="0" borderId="0" xfId="0" applyNumberFormat="1" applyFont="1" applyFill="1" applyAlignment="1">
      <alignment horizontal="center"/>
    </xf>
    <xf numFmtId="3" fontId="36" fillId="0" borderId="0" xfId="0" applyNumberFormat="1" applyFont="1" applyFill="1"/>
    <xf numFmtId="177" fontId="36" fillId="0" borderId="0" xfId="0" applyNumberFormat="1" applyFont="1"/>
    <xf numFmtId="166" fontId="32" fillId="8" borderId="89" xfId="5" applyNumberFormat="1" applyFont="1" applyFill="1" applyBorder="1" applyAlignment="1">
      <alignment horizontal="right" vertical="center"/>
    </xf>
    <xf numFmtId="166" fontId="36" fillId="8" borderId="237" xfId="0" applyNumberFormat="1" applyFont="1" applyFill="1" applyBorder="1" applyAlignment="1" applyProtection="1">
      <alignment horizontal="right" vertical="center"/>
    </xf>
    <xf numFmtId="3" fontId="36" fillId="0" borderId="54" xfId="0" applyNumberFormat="1" applyFont="1" applyBorder="1" applyAlignment="1">
      <alignment horizontal="right" vertical="center"/>
    </xf>
    <xf numFmtId="174" fontId="36" fillId="11" borderId="134" xfId="0" applyNumberFormat="1" applyFont="1" applyFill="1" applyBorder="1" applyAlignment="1" applyProtection="1">
      <alignment horizontal="right" vertical="center"/>
      <protection locked="0"/>
    </xf>
    <xf numFmtId="166" fontId="32" fillId="0" borderId="35" xfId="5" applyNumberFormat="1" applyFont="1" applyBorder="1" applyAlignment="1">
      <alignment horizontal="right" vertical="center"/>
    </xf>
    <xf numFmtId="174" fontId="36" fillId="0" borderId="11" xfId="0" applyNumberFormat="1" applyFont="1" applyBorder="1" applyAlignment="1">
      <alignment horizontal="right" vertical="center"/>
    </xf>
    <xf numFmtId="166" fontId="56" fillId="0" borderId="0" xfId="5" applyNumberFormat="1" applyFont="1" applyFill="1" applyBorder="1" applyAlignment="1">
      <alignment horizontal="right" vertical="center"/>
    </xf>
    <xf numFmtId="166" fontId="36" fillId="0" borderId="35" xfId="0" applyNumberFormat="1" applyFont="1" applyFill="1" applyBorder="1" applyAlignment="1">
      <alignment horizontal="right" vertical="center"/>
    </xf>
    <xf numFmtId="174" fontId="36" fillId="0" borderId="11" xfId="0" applyNumberFormat="1" applyFont="1" applyFill="1" applyBorder="1" applyAlignment="1">
      <alignment horizontal="right" vertical="center"/>
    </xf>
    <xf numFmtId="174" fontId="36" fillId="11" borderId="13" xfId="0" applyNumberFormat="1" applyFont="1" applyFill="1" applyBorder="1" applyAlignment="1" applyProtection="1">
      <alignment horizontal="right" vertical="center"/>
      <protection locked="0"/>
    </xf>
    <xf numFmtId="166" fontId="36" fillId="10" borderId="35" xfId="0" applyNumberFormat="1" applyFont="1" applyFill="1" applyBorder="1" applyAlignment="1" applyProtection="1">
      <alignment horizontal="right" vertical="center"/>
      <protection locked="0"/>
    </xf>
    <xf numFmtId="174" fontId="36" fillId="11" borderId="86" xfId="0" applyNumberFormat="1" applyFont="1" applyFill="1" applyBorder="1" applyAlignment="1" applyProtection="1">
      <alignment horizontal="right" vertical="center"/>
      <protection locked="0"/>
    </xf>
    <xf numFmtId="3" fontId="36" fillId="0" borderId="161" xfId="0" applyNumberFormat="1" applyFont="1" applyBorder="1" applyAlignment="1">
      <alignment horizontal="right" vertical="center"/>
    </xf>
    <xf numFmtId="174" fontId="36" fillId="11" borderId="12" xfId="0" applyNumberFormat="1" applyFont="1" applyFill="1" applyBorder="1" applyAlignment="1" applyProtection="1">
      <alignment horizontal="right" vertical="center"/>
      <protection locked="0"/>
    </xf>
    <xf numFmtId="166" fontId="32" fillId="0" borderId="255" xfId="5" applyNumberFormat="1" applyFont="1" applyBorder="1" applyAlignment="1">
      <alignment horizontal="right" vertical="center"/>
    </xf>
    <xf numFmtId="174" fontId="36" fillId="0" borderId="134" xfId="0" applyNumberFormat="1" applyFont="1" applyBorder="1" applyAlignment="1">
      <alignment horizontal="right" vertical="center"/>
    </xf>
    <xf numFmtId="166" fontId="56" fillId="0" borderId="77" xfId="5" applyNumberFormat="1" applyFont="1" applyFill="1" applyBorder="1" applyAlignment="1">
      <alignment horizontal="right" vertical="center"/>
    </xf>
    <xf numFmtId="166" fontId="36" fillId="0" borderId="255" xfId="0" applyNumberFormat="1" applyFont="1" applyFill="1" applyBorder="1" applyAlignment="1">
      <alignment horizontal="right" vertical="center"/>
    </xf>
    <xf numFmtId="174" fontId="36" fillId="0" borderId="134" xfId="0" applyNumberFormat="1" applyFont="1" applyFill="1" applyBorder="1" applyAlignment="1">
      <alignment horizontal="right" vertical="center"/>
    </xf>
    <xf numFmtId="166" fontId="36" fillId="10" borderId="255" xfId="0" applyNumberFormat="1" applyFont="1" applyFill="1" applyBorder="1" applyAlignment="1" applyProtection="1">
      <alignment horizontal="right" vertical="center"/>
      <protection locked="0"/>
    </xf>
    <xf numFmtId="174" fontId="36" fillId="11" borderId="83" xfId="0" applyNumberFormat="1" applyFont="1" applyFill="1" applyBorder="1" applyAlignment="1" applyProtection="1">
      <alignment horizontal="right" vertical="center"/>
      <protection locked="0"/>
    </xf>
    <xf numFmtId="166" fontId="32" fillId="8" borderId="237" xfId="0" applyNumberFormat="1" applyFont="1" applyFill="1" applyBorder="1" applyAlignment="1" applyProtection="1">
      <alignment horizontal="right" vertical="center"/>
    </xf>
    <xf numFmtId="3" fontId="36" fillId="0" borderId="54" xfId="0" applyNumberFormat="1" applyFont="1" applyFill="1" applyBorder="1" applyAlignment="1">
      <alignment horizontal="right" vertical="center"/>
    </xf>
    <xf numFmtId="166" fontId="36" fillId="0" borderId="35" xfId="5" applyNumberFormat="1" applyFont="1" applyBorder="1" applyAlignment="1">
      <alignment horizontal="right" vertical="center"/>
    </xf>
    <xf numFmtId="166" fontId="36" fillId="0" borderId="0" xfId="5" applyNumberFormat="1" applyFont="1" applyBorder="1" applyAlignment="1">
      <alignment horizontal="right" vertical="center"/>
    </xf>
    <xf numFmtId="166" fontId="36" fillId="0" borderId="0" xfId="5" applyNumberFormat="1" applyFont="1" applyFill="1" applyBorder="1" applyAlignment="1">
      <alignment horizontal="right" vertical="center"/>
    </xf>
    <xf numFmtId="166" fontId="36" fillId="0" borderId="35" xfId="0" applyNumberFormat="1" applyFont="1" applyFill="1" applyBorder="1" applyAlignment="1" applyProtection="1">
      <alignment horizontal="right" vertical="center"/>
    </xf>
    <xf numFmtId="174" fontId="36" fillId="11" borderId="11" xfId="0" applyNumberFormat="1" applyFont="1" applyFill="1" applyBorder="1" applyAlignment="1" applyProtection="1">
      <alignment horizontal="right" vertical="center"/>
      <protection locked="0"/>
    </xf>
    <xf numFmtId="166" fontId="36" fillId="0" borderId="35" xfId="5" applyNumberFormat="1" applyFont="1" applyFill="1" applyBorder="1" applyAlignment="1">
      <alignment horizontal="right" vertical="center"/>
    </xf>
    <xf numFmtId="174" fontId="32" fillId="0" borderId="11" xfId="0" applyNumberFormat="1" applyFont="1" applyFill="1" applyBorder="1" applyAlignment="1">
      <alignment horizontal="right" vertical="center"/>
    </xf>
    <xf numFmtId="166" fontId="32" fillId="0" borderId="35" xfId="0" applyNumberFormat="1" applyFont="1" applyFill="1" applyBorder="1" applyAlignment="1">
      <alignment horizontal="right" vertical="center"/>
    </xf>
    <xf numFmtId="3" fontId="120" fillId="0" borderId="164" xfId="0" applyNumberFormat="1" applyFont="1" applyBorder="1" applyAlignment="1">
      <alignment horizontal="right" vertical="center"/>
    </xf>
    <xf numFmtId="174" fontId="120" fillId="11" borderId="164" xfId="0" applyNumberFormat="1" applyFont="1" applyFill="1" applyBorder="1" applyAlignment="1" applyProtection="1">
      <alignment horizontal="right" vertical="center"/>
      <protection locked="0"/>
    </xf>
    <xf numFmtId="0" fontId="120" fillId="0" borderId="264" xfId="0" applyFont="1" applyBorder="1" applyAlignment="1">
      <alignment horizontal="right" vertical="center"/>
    </xf>
    <xf numFmtId="177" fontId="120" fillId="0" borderId="265" xfId="0" applyNumberFormat="1" applyFont="1" applyBorder="1" applyAlignment="1">
      <alignment horizontal="right" vertical="center"/>
    </xf>
    <xf numFmtId="0" fontId="120" fillId="0" borderId="264" xfId="0" applyFont="1" applyFill="1" applyBorder="1" applyAlignment="1">
      <alignment horizontal="right" vertical="center"/>
    </xf>
    <xf numFmtId="166" fontId="120" fillId="0" borderId="264" xfId="5" applyNumberFormat="1" applyFont="1" applyBorder="1" applyAlignment="1">
      <alignment horizontal="right" vertical="center"/>
    </xf>
    <xf numFmtId="166" fontId="36" fillId="0" borderId="120" xfId="0" applyNumberFormat="1" applyFont="1" applyFill="1" applyBorder="1" applyAlignment="1" applyProtection="1">
      <alignment horizontal="right" vertical="center"/>
    </xf>
    <xf numFmtId="174" fontId="120" fillId="0" borderId="266" xfId="0" applyNumberFormat="1" applyFont="1" applyFill="1" applyBorder="1" applyAlignment="1">
      <alignment horizontal="right" vertical="center"/>
    </xf>
    <xf numFmtId="166" fontId="120" fillId="10" borderId="120" xfId="0" applyNumberFormat="1" applyFont="1" applyFill="1" applyBorder="1" applyAlignment="1" applyProtection="1">
      <alignment horizontal="right" vertical="center"/>
      <protection locked="0"/>
    </xf>
    <xf numFmtId="166" fontId="120" fillId="10" borderId="120" xfId="0" applyNumberFormat="1" applyFont="1" applyFill="1" applyBorder="1" applyAlignment="1" applyProtection="1">
      <alignment horizontal="right" vertical="center"/>
      <protection locked="0"/>
    </xf>
    <xf numFmtId="0" fontId="43" fillId="0" borderId="0" xfId="0" applyFont="1" applyAlignment="1">
      <alignment horizontal="right" vertical="center"/>
    </xf>
    <xf numFmtId="174" fontId="36" fillId="0" borderId="0" xfId="0" applyNumberFormat="1" applyFont="1" applyFill="1" applyBorder="1" applyAlignment="1" applyProtection="1">
      <alignment horizontal="right" vertical="center"/>
      <protection locked="0"/>
    </xf>
    <xf numFmtId="0" fontId="36" fillId="0" borderId="0" xfId="0" applyFont="1" applyAlignment="1">
      <alignment horizontal="right" vertical="center"/>
    </xf>
    <xf numFmtId="0" fontId="36" fillId="0" borderId="0" xfId="0" applyFont="1" applyFill="1" applyAlignment="1">
      <alignment horizontal="right" vertical="center"/>
    </xf>
    <xf numFmtId="3" fontId="32" fillId="0" borderId="117" xfId="0" applyNumberFormat="1" applyFont="1" applyFill="1" applyBorder="1" applyAlignment="1">
      <alignment horizontal="right" vertical="center"/>
    </xf>
    <xf numFmtId="174" fontId="32" fillId="0" borderId="267" xfId="0" applyNumberFormat="1" applyFont="1" applyFill="1" applyBorder="1" applyAlignment="1">
      <alignment horizontal="right" vertical="center"/>
    </xf>
    <xf numFmtId="166" fontId="36" fillId="0" borderId="268" xfId="0" applyNumberFormat="1" applyFont="1" applyBorder="1" applyAlignment="1">
      <alignment horizontal="right" vertical="center"/>
    </xf>
    <xf numFmtId="3" fontId="39" fillId="0" borderId="0" xfId="0" applyNumberFormat="1" applyFont="1" applyAlignment="1">
      <alignment horizontal="centerContinuous"/>
    </xf>
    <xf numFmtId="3" fontId="39" fillId="0" borderId="0" xfId="0" applyNumberFormat="1" applyFont="1" applyProtection="1">
      <protection hidden="1"/>
    </xf>
    <xf numFmtId="3" fontId="39" fillId="0" borderId="0" xfId="0" applyNumberFormat="1" applyFont="1" applyFill="1" applyAlignment="1">
      <alignment horizontal="left"/>
    </xf>
    <xf numFmtId="3" fontId="39" fillId="0" borderId="0" xfId="0" applyNumberFormat="1" applyFont="1" applyFill="1"/>
    <xf numFmtId="0" fontId="36" fillId="0" borderId="1" xfId="0" applyFont="1" applyBorder="1"/>
    <xf numFmtId="0" fontId="48" fillId="0" borderId="0" xfId="0" applyFont="1"/>
    <xf numFmtId="3" fontId="36" fillId="0" borderId="2" xfId="0" applyNumberFormat="1" applyFont="1" applyBorder="1"/>
    <xf numFmtId="49" fontId="53" fillId="0" borderId="2" xfId="0" applyNumberFormat="1" applyFont="1" applyFill="1" applyBorder="1" applyAlignment="1">
      <alignment horizontal="left" vertical="center" indent="3"/>
    </xf>
    <xf numFmtId="3" fontId="36" fillId="0" borderId="2" xfId="0" applyNumberFormat="1" applyFont="1" applyFill="1" applyBorder="1"/>
    <xf numFmtId="174" fontId="36" fillId="0" borderId="0" xfId="0" applyNumberFormat="1" applyFont="1" applyFill="1" applyBorder="1"/>
    <xf numFmtId="3" fontId="32" fillId="0" borderId="269" xfId="0" applyNumberFormat="1" applyFont="1" applyBorder="1"/>
    <xf numFmtId="3" fontId="32" fillId="0" borderId="190" xfId="0" applyNumberFormat="1" applyFont="1" applyBorder="1"/>
    <xf numFmtId="166" fontId="43" fillId="0" borderId="0" xfId="0" applyNumberFormat="1" applyFont="1" applyFill="1" applyBorder="1"/>
    <xf numFmtId="166" fontId="36" fillId="0" borderId="0" xfId="0" applyNumberFormat="1" applyFont="1" applyFill="1" applyBorder="1"/>
    <xf numFmtId="0" fontId="37" fillId="0" borderId="0" xfId="0" applyFont="1" applyFill="1" applyBorder="1" applyAlignment="1">
      <alignment horizontal="left"/>
    </xf>
    <xf numFmtId="0" fontId="66" fillId="0" borderId="0" xfId="0" applyFont="1" applyFill="1" applyBorder="1"/>
    <xf numFmtId="174" fontId="43" fillId="0" borderId="0" xfId="0" applyNumberFormat="1" applyFont="1" applyFill="1" applyBorder="1"/>
    <xf numFmtId="0" fontId="37" fillId="0" borderId="0" xfId="0" applyFont="1" applyBorder="1" applyAlignment="1">
      <alignment horizontal="left" wrapText="1"/>
    </xf>
    <xf numFmtId="166" fontId="43" fillId="0" borderId="56" xfId="0" applyNumberFormat="1" applyFont="1" applyFill="1" applyBorder="1"/>
    <xf numFmtId="174" fontId="36" fillId="12" borderId="80" xfId="0" applyNumberFormat="1" applyFont="1" applyFill="1" applyBorder="1" applyProtection="1"/>
    <xf numFmtId="0" fontId="43" fillId="12" borderId="80" xfId="0" applyFont="1" applyFill="1" applyBorder="1"/>
    <xf numFmtId="166" fontId="43" fillId="0" borderId="70" xfId="0" applyNumberFormat="1" applyFont="1" applyFill="1" applyBorder="1"/>
    <xf numFmtId="166" fontId="43" fillId="0" borderId="105" xfId="0" applyNumberFormat="1" applyFont="1" applyFill="1" applyBorder="1"/>
    <xf numFmtId="166" fontId="67" fillId="0" borderId="105" xfId="0" applyNumberFormat="1" applyFont="1" applyFill="1" applyBorder="1"/>
    <xf numFmtId="0" fontId="32" fillId="0" borderId="0" xfId="0" applyFont="1" applyFill="1" applyBorder="1" applyAlignment="1">
      <alignment horizontal="center" vertical="center"/>
    </xf>
    <xf numFmtId="174" fontId="36" fillId="0" borderId="227" xfId="0" applyNumberFormat="1" applyFont="1" applyBorder="1" applyAlignment="1" applyProtection="1">
      <alignment vertical="center"/>
    </xf>
    <xf numFmtId="166" fontId="36" fillId="0" borderId="82" xfId="0" applyNumberFormat="1" applyFont="1" applyBorder="1" applyAlignment="1">
      <alignment vertical="center"/>
    </xf>
    <xf numFmtId="174" fontId="36" fillId="0" borderId="227" xfId="0" applyNumberFormat="1" applyFont="1" applyBorder="1" applyAlignment="1" applyProtection="1">
      <alignment vertical="center"/>
      <protection hidden="1"/>
    </xf>
    <xf numFmtId="166" fontId="36" fillId="0" borderId="38" xfId="0" applyNumberFormat="1" applyFont="1" applyBorder="1" applyAlignment="1">
      <alignment vertical="center"/>
    </xf>
    <xf numFmtId="174" fontId="37" fillId="0" borderId="227" xfId="0" applyNumberFormat="1" applyFont="1" applyFill="1" applyBorder="1" applyAlignment="1" applyProtection="1">
      <alignment vertical="center"/>
    </xf>
    <xf numFmtId="166" fontId="37" fillId="0" borderId="82" xfId="0" applyNumberFormat="1" applyFont="1" applyFill="1" applyBorder="1" applyAlignment="1">
      <alignment vertical="center"/>
    </xf>
    <xf numFmtId="174" fontId="37" fillId="0" borderId="227" xfId="0" applyNumberFormat="1" applyFont="1" applyFill="1" applyBorder="1" applyAlignment="1" applyProtection="1">
      <alignment vertical="center"/>
      <protection hidden="1"/>
    </xf>
    <xf numFmtId="166" fontId="37" fillId="0" borderId="38" xfId="0" applyNumberFormat="1" applyFont="1" applyFill="1" applyBorder="1" applyAlignment="1">
      <alignment vertical="center"/>
    </xf>
    <xf numFmtId="174" fontId="36" fillId="0" borderId="227" xfId="0" applyNumberFormat="1" applyFont="1" applyFill="1" applyBorder="1" applyAlignment="1" applyProtection="1">
      <alignment vertical="center"/>
    </xf>
    <xf numFmtId="166" fontId="36" fillId="0" borderId="82" xfId="0" applyNumberFormat="1" applyFont="1" applyFill="1" applyBorder="1" applyAlignment="1">
      <alignment vertical="center"/>
    </xf>
    <xf numFmtId="174" fontId="36" fillId="0" borderId="227" xfId="0" applyNumberFormat="1" applyFont="1" applyFill="1" applyBorder="1" applyAlignment="1" applyProtection="1">
      <alignment vertical="center"/>
      <protection hidden="1"/>
    </xf>
    <xf numFmtId="180" fontId="36" fillId="0" borderId="227" xfId="0" applyNumberFormat="1" applyFont="1" applyFill="1" applyBorder="1" applyAlignment="1" applyProtection="1">
      <alignment vertical="center"/>
    </xf>
    <xf numFmtId="166" fontId="36" fillId="0" borderId="38" xfId="0" applyNumberFormat="1" applyFont="1" applyFill="1" applyBorder="1" applyAlignment="1">
      <alignment vertical="center"/>
    </xf>
    <xf numFmtId="166" fontId="36" fillId="0" borderId="70" xfId="0" applyNumberFormat="1" applyFont="1" applyFill="1" applyBorder="1" applyAlignment="1">
      <alignment vertical="center"/>
    </xf>
    <xf numFmtId="166" fontId="36" fillId="0" borderId="35" xfId="0" applyNumberFormat="1" applyFont="1" applyFill="1" applyBorder="1" applyAlignment="1">
      <alignment vertical="center"/>
    </xf>
    <xf numFmtId="166" fontId="36" fillId="0" borderId="222" xfId="0" applyNumberFormat="1" applyFont="1" applyFill="1" applyBorder="1" applyAlignment="1">
      <alignment vertical="center"/>
    </xf>
    <xf numFmtId="166" fontId="36" fillId="0" borderId="105" xfId="0" applyNumberFormat="1" applyFont="1" applyFill="1" applyBorder="1" applyAlignment="1">
      <alignment vertical="center"/>
    </xf>
    <xf numFmtId="166" fontId="36" fillId="0" borderId="237" xfId="0" applyNumberFormat="1" applyFont="1" applyFill="1" applyBorder="1" applyAlignment="1">
      <alignment vertical="center"/>
    </xf>
    <xf numFmtId="166" fontId="36" fillId="0" borderId="106" xfId="0" applyNumberFormat="1" applyFont="1" applyFill="1" applyBorder="1" applyAlignment="1">
      <alignment vertical="center"/>
    </xf>
    <xf numFmtId="174" fontId="36" fillId="0" borderId="227" xfId="0" quotePrefix="1" applyNumberFormat="1" applyFont="1" applyFill="1" applyBorder="1" applyAlignment="1" applyProtection="1">
      <alignment vertical="center"/>
    </xf>
    <xf numFmtId="174" fontId="32" fillId="0" borderId="0" xfId="0" applyNumberFormat="1" applyFont="1" applyFill="1" applyBorder="1" applyAlignment="1">
      <alignment vertical="center"/>
    </xf>
    <xf numFmtId="166" fontId="32" fillId="0" borderId="0" xfId="0" applyNumberFormat="1" applyFont="1" applyFill="1" applyBorder="1" applyAlignment="1">
      <alignment vertical="center"/>
    </xf>
    <xf numFmtId="174" fontId="36" fillId="0" borderId="270" xfId="0" applyNumberFormat="1" applyFont="1" applyFill="1" applyBorder="1" applyAlignment="1">
      <alignment vertical="center"/>
    </xf>
    <xf numFmtId="166" fontId="36" fillId="0" borderId="271" xfId="0" applyNumberFormat="1" applyFont="1" applyBorder="1" applyAlignment="1">
      <alignment vertical="center"/>
    </xf>
    <xf numFmtId="166" fontId="36" fillId="0" borderId="271" xfId="0" applyNumberFormat="1" applyFont="1" applyFill="1" applyBorder="1" applyAlignment="1">
      <alignment vertical="center"/>
    </xf>
    <xf numFmtId="166" fontId="36" fillId="0" borderId="272" xfId="0" applyNumberFormat="1" applyFont="1" applyFill="1" applyBorder="1" applyAlignment="1">
      <alignment vertical="center"/>
    </xf>
    <xf numFmtId="166" fontId="36" fillId="0" borderId="120" xfId="0" applyNumberFormat="1" applyFont="1" applyFill="1" applyBorder="1" applyAlignment="1">
      <alignment vertical="center"/>
    </xf>
    <xf numFmtId="174" fontId="36" fillId="0" borderId="162" xfId="0" applyNumberFormat="1" applyFont="1" applyFill="1" applyBorder="1" applyAlignment="1">
      <alignment vertical="center"/>
    </xf>
    <xf numFmtId="166" fontId="36" fillId="0" borderId="223" xfId="0" applyNumberFormat="1" applyFont="1" applyBorder="1" applyAlignment="1">
      <alignment vertical="center"/>
    </xf>
    <xf numFmtId="174" fontId="36" fillId="0" borderId="166" xfId="0" applyNumberFormat="1" applyFont="1" applyFill="1" applyBorder="1" applyAlignment="1" applyProtection="1">
      <alignment vertical="center"/>
    </xf>
    <xf numFmtId="166" fontId="36" fillId="0" borderId="223" xfId="0" applyNumberFormat="1" applyFont="1" applyFill="1" applyBorder="1" applyAlignment="1">
      <alignment vertical="center"/>
    </xf>
    <xf numFmtId="174" fontId="36" fillId="0" borderId="166" xfId="0" applyNumberFormat="1" applyFont="1" applyFill="1" applyBorder="1" applyAlignment="1" applyProtection="1">
      <alignment vertical="center"/>
      <protection hidden="1"/>
    </xf>
    <xf numFmtId="166" fontId="36" fillId="0" borderId="273" xfId="0" applyNumberFormat="1" applyFont="1" applyFill="1" applyBorder="1" applyAlignment="1">
      <alignment vertical="center"/>
    </xf>
    <xf numFmtId="166" fontId="36" fillId="0" borderId="43" xfId="0" applyNumberFormat="1" applyFont="1" applyFill="1" applyBorder="1" applyAlignment="1">
      <alignment vertical="center"/>
    </xf>
    <xf numFmtId="0" fontId="32" fillId="0" borderId="0" xfId="0" applyFont="1" applyFill="1" applyBorder="1" applyAlignment="1">
      <alignment vertical="center"/>
    </xf>
    <xf numFmtId="174" fontId="32" fillId="0" borderId="270" xfId="0" applyNumberFormat="1" applyFont="1" applyBorder="1" applyAlignment="1">
      <alignment vertical="center"/>
    </xf>
    <xf numFmtId="166" fontId="36" fillId="0" borderId="221" xfId="0" applyNumberFormat="1" applyFont="1" applyBorder="1" applyAlignment="1">
      <alignment horizontal="center" vertical="center"/>
    </xf>
    <xf numFmtId="166" fontId="36" fillId="0" borderId="25" xfId="0" applyNumberFormat="1" applyFont="1" applyBorder="1" applyAlignment="1">
      <alignment horizontal="center" vertical="center"/>
    </xf>
    <xf numFmtId="174" fontId="32" fillId="0" borderId="162" xfId="0" applyNumberFormat="1" applyFont="1" applyBorder="1" applyAlignment="1">
      <alignment vertical="center"/>
    </xf>
    <xf numFmtId="166" fontId="36" fillId="0" borderId="274" xfId="0" applyNumberFormat="1" applyFont="1" applyBorder="1" applyAlignment="1">
      <alignment horizontal="center" vertical="center"/>
    </xf>
    <xf numFmtId="166" fontId="36" fillId="0" borderId="136" xfId="0" applyNumberFormat="1" applyFont="1" applyBorder="1" applyAlignment="1">
      <alignment horizontal="center" vertical="center"/>
    </xf>
    <xf numFmtId="0" fontId="43" fillId="0" borderId="0" xfId="0" applyFont="1" applyFill="1" applyBorder="1" applyAlignment="1">
      <alignment vertical="center"/>
    </xf>
    <xf numFmtId="166" fontId="43" fillId="0" borderId="0" xfId="0" applyNumberFormat="1" applyFont="1" applyFill="1" applyBorder="1" applyAlignment="1">
      <alignment vertical="center"/>
    </xf>
    <xf numFmtId="177" fontId="36" fillId="0" borderId="0" xfId="0" applyNumberFormat="1" applyFont="1" applyFill="1" applyBorder="1" applyAlignment="1">
      <alignment vertical="center"/>
    </xf>
    <xf numFmtId="0" fontId="36" fillId="0" borderId="0" xfId="0" applyFont="1" applyFill="1" applyBorder="1" applyAlignment="1">
      <alignment vertical="center"/>
    </xf>
    <xf numFmtId="174" fontId="36" fillId="8" borderId="172" xfId="0" applyNumberFormat="1" applyFont="1" applyFill="1" applyBorder="1" applyProtection="1"/>
    <xf numFmtId="0" fontId="43" fillId="8" borderId="80" xfId="0" applyFont="1" applyFill="1" applyBorder="1"/>
    <xf numFmtId="174" fontId="36" fillId="8" borderId="80" xfId="0" applyNumberFormat="1" applyFont="1" applyFill="1" applyBorder="1" applyProtection="1"/>
    <xf numFmtId="174" fontId="36" fillId="8" borderId="103" xfId="0" applyNumberFormat="1" applyFont="1" applyFill="1" applyBorder="1" applyProtection="1"/>
    <xf numFmtId="174" fontId="36" fillId="8" borderId="197" xfId="0" applyNumberFormat="1" applyFont="1" applyFill="1" applyBorder="1" applyProtection="1"/>
    <xf numFmtId="174" fontId="36" fillId="8" borderId="191" xfId="0" applyNumberFormat="1" applyFont="1" applyFill="1" applyBorder="1" applyProtection="1"/>
    <xf numFmtId="0" fontId="43" fillId="8" borderId="191" xfId="0" applyFont="1" applyFill="1" applyBorder="1"/>
    <xf numFmtId="174" fontId="36" fillId="3" borderId="163" xfId="0" applyNumberFormat="1" applyFont="1" applyFill="1" applyBorder="1" applyProtection="1">
      <protection locked="0"/>
    </xf>
    <xf numFmtId="174" fontId="36" fillId="3" borderId="86" xfId="0" applyNumberFormat="1" applyFont="1" applyFill="1" applyBorder="1" applyProtection="1">
      <protection locked="0"/>
    </xf>
    <xf numFmtId="174" fontId="36" fillId="3" borderId="88" xfId="0" applyNumberFormat="1" applyFont="1" applyFill="1" applyBorder="1" applyProtection="1">
      <protection locked="0"/>
    </xf>
    <xf numFmtId="3" fontId="35" fillId="8" borderId="0" xfId="0" applyNumberFormat="1" applyFont="1" applyFill="1" applyBorder="1" applyAlignment="1">
      <alignment vertical="center"/>
    </xf>
    <xf numFmtId="166" fontId="134" fillId="3" borderId="0" xfId="0" applyNumberFormat="1" applyFont="1" applyFill="1" applyBorder="1" applyAlignment="1" applyProtection="1">
      <alignment vertical="center"/>
      <protection locked="0"/>
    </xf>
    <xf numFmtId="4" fontId="134" fillId="3" borderId="0" xfId="0" applyNumberFormat="1" applyFont="1" applyFill="1" applyBorder="1" applyAlignment="1" applyProtection="1">
      <alignment vertical="center"/>
      <protection locked="0"/>
    </xf>
    <xf numFmtId="177" fontId="32" fillId="9" borderId="159" xfId="0" applyNumberFormat="1" applyFont="1" applyFill="1" applyBorder="1" applyProtection="1"/>
    <xf numFmtId="3" fontId="36" fillId="0" borderId="160" xfId="0" applyNumberFormat="1" applyFont="1" applyFill="1" applyBorder="1" applyAlignment="1">
      <alignment horizontal="center" vertical="center"/>
    </xf>
    <xf numFmtId="3" fontId="32" fillId="9" borderId="160" xfId="0" applyNumberFormat="1" applyFont="1" applyFill="1" applyBorder="1" applyAlignment="1" applyProtection="1">
      <alignment horizontal="center" vertical="center"/>
    </xf>
    <xf numFmtId="3" fontId="32" fillId="9" borderId="161" xfId="0" applyNumberFormat="1" applyFont="1" applyFill="1" applyBorder="1" applyAlignment="1">
      <alignment horizontal="center" vertical="center"/>
    </xf>
    <xf numFmtId="3" fontId="36" fillId="0" borderId="161" xfId="0" applyNumberFormat="1" applyFont="1" applyFill="1" applyBorder="1" applyAlignment="1" applyProtection="1">
      <alignment horizontal="center" vertical="center"/>
      <protection locked="0"/>
    </xf>
    <xf numFmtId="3" fontId="36" fillId="0" borderId="230" xfId="0" applyNumberFormat="1" applyFont="1" applyFill="1" applyBorder="1" applyAlignment="1">
      <alignment horizontal="center" vertical="center"/>
    </xf>
    <xf numFmtId="177" fontId="32" fillId="9" borderId="130" xfId="0" applyNumberFormat="1" applyFont="1" applyFill="1" applyBorder="1" applyProtection="1"/>
    <xf numFmtId="174" fontId="36" fillId="8" borderId="12" xfId="0" applyNumberFormat="1" applyFont="1" applyFill="1" applyBorder="1" applyAlignment="1" applyProtection="1">
      <alignment horizontal="right"/>
    </xf>
    <xf numFmtId="174" fontId="32" fillId="9" borderId="163" xfId="0" applyNumberFormat="1" applyFont="1" applyFill="1" applyBorder="1" applyProtection="1"/>
    <xf numFmtId="174" fontId="36" fillId="8" borderId="54" xfId="0" applyNumberFormat="1" applyFont="1" applyFill="1" applyBorder="1" applyAlignment="1" applyProtection="1">
      <alignment horizontal="right"/>
    </xf>
    <xf numFmtId="174" fontId="32" fillId="9" borderId="230" xfId="0" applyNumberFormat="1" applyFont="1" applyFill="1" applyBorder="1" applyProtection="1"/>
    <xf numFmtId="177" fontId="32" fillId="9" borderId="12" xfId="0" applyNumberFormat="1" applyFont="1" applyFill="1" applyBorder="1" applyProtection="1"/>
    <xf numFmtId="177" fontId="32" fillId="9" borderId="13" xfId="0" applyNumberFormat="1" applyFont="1" applyFill="1" applyBorder="1" applyProtection="1"/>
    <xf numFmtId="177" fontId="32" fillId="9" borderId="158" xfId="0" applyNumberFormat="1" applyFont="1" applyFill="1" applyBorder="1" applyProtection="1"/>
    <xf numFmtId="174" fontId="32" fillId="9" borderId="86" xfId="0" applyNumberFormat="1" applyFont="1" applyFill="1" applyBorder="1" applyProtection="1"/>
    <xf numFmtId="174" fontId="32" fillId="9" borderId="160" xfId="0" applyNumberFormat="1" applyFont="1" applyFill="1" applyBorder="1" applyProtection="1"/>
    <xf numFmtId="174" fontId="32" fillId="9" borderId="13" xfId="0" applyNumberFormat="1" applyFont="1" applyFill="1" applyBorder="1" applyProtection="1"/>
    <xf numFmtId="174" fontId="32" fillId="9" borderId="158" xfId="0" applyNumberFormat="1" applyFont="1" applyFill="1" applyBorder="1" applyProtection="1"/>
    <xf numFmtId="0" fontId="37" fillId="0" borderId="46" xfId="0" applyFont="1" applyFill="1" applyBorder="1" applyAlignment="1" applyProtection="1">
      <alignment horizontal="left"/>
    </xf>
    <xf numFmtId="0" fontId="37" fillId="0" borderId="23" xfId="0" applyFont="1" applyFill="1" applyBorder="1" applyAlignment="1" applyProtection="1">
      <alignment horizontal="left"/>
    </xf>
    <xf numFmtId="1" fontId="36" fillId="8" borderId="54" xfId="0" applyNumberFormat="1" applyFont="1" applyFill="1" applyBorder="1" applyAlignment="1" applyProtection="1">
      <alignment horizontal="center"/>
    </xf>
    <xf numFmtId="174" fontId="36" fillId="0" borderId="86" xfId="0" applyNumberFormat="1" applyFont="1" applyFill="1" applyBorder="1" applyAlignment="1" applyProtection="1">
      <alignment horizontal="right"/>
    </xf>
    <xf numFmtId="174" fontId="36" fillId="0" borderId="160" xfId="0" applyNumberFormat="1" applyFont="1" applyFill="1" applyBorder="1" applyAlignment="1" applyProtection="1">
      <alignment horizontal="right"/>
    </xf>
    <xf numFmtId="174" fontId="36" fillId="0" borderId="163" xfId="0" applyNumberFormat="1" applyFont="1" applyFill="1" applyBorder="1" applyAlignment="1" applyProtection="1">
      <alignment horizontal="right"/>
    </xf>
    <xf numFmtId="174" fontId="36" fillId="0" borderId="230" xfId="0" applyNumberFormat="1" applyFont="1" applyFill="1" applyBorder="1" applyAlignment="1" applyProtection="1">
      <alignment horizontal="right"/>
    </xf>
    <xf numFmtId="174" fontId="36" fillId="0" borderId="12" xfId="0" applyNumberFormat="1" applyFont="1" applyFill="1" applyBorder="1" applyAlignment="1" applyProtection="1">
      <alignment horizontal="right"/>
    </xf>
    <xf numFmtId="174" fontId="36" fillId="0" borderId="54" xfId="0" applyNumberFormat="1" applyFont="1" applyFill="1" applyBorder="1" applyAlignment="1" applyProtection="1">
      <alignment horizontal="right"/>
    </xf>
    <xf numFmtId="0" fontId="5" fillId="0" borderId="11" xfId="0" applyFont="1" applyFill="1" applyBorder="1" applyAlignment="1">
      <alignment horizontal="center" wrapText="1"/>
    </xf>
    <xf numFmtId="0" fontId="5" fillId="0" borderId="0" xfId="0" applyFont="1" applyFill="1" applyBorder="1" applyAlignment="1">
      <alignment horizontal="center" wrapText="1"/>
    </xf>
    <xf numFmtId="174" fontId="32" fillId="0" borderId="163" xfId="0" applyNumberFormat="1" applyFont="1" applyFill="1" applyBorder="1" applyAlignment="1" applyProtection="1">
      <alignment horizontal="center" vertical="center"/>
    </xf>
    <xf numFmtId="3" fontId="35" fillId="0" borderId="0" xfId="0" applyNumberFormat="1" applyFont="1" applyFill="1" applyBorder="1" applyAlignment="1">
      <alignment vertical="center"/>
    </xf>
    <xf numFmtId="174" fontId="32" fillId="0" borderId="0" xfId="0" applyNumberFormat="1" applyFont="1" applyFill="1" applyBorder="1" applyAlignment="1">
      <alignment horizontal="right" vertical="center"/>
    </xf>
    <xf numFmtId="3" fontId="8" fillId="0" borderId="0" xfId="0" applyNumberFormat="1" applyFont="1" applyFill="1" applyBorder="1"/>
    <xf numFmtId="3" fontId="8" fillId="0" borderId="0" xfId="0" applyNumberFormat="1" applyFont="1" applyFill="1" applyBorder="1" applyAlignment="1"/>
    <xf numFmtId="0" fontId="68" fillId="0" borderId="0" xfId="0" applyFont="1"/>
    <xf numFmtId="0" fontId="37" fillId="0" borderId="284" xfId="0" applyFont="1" applyFill="1" applyBorder="1" applyAlignment="1"/>
    <xf numFmtId="0" fontId="37" fillId="0" borderId="285" xfId="0" applyFont="1" applyFill="1" applyBorder="1" applyAlignment="1"/>
    <xf numFmtId="0" fontId="37" fillId="0" borderId="286" xfId="0" applyFont="1" applyFill="1" applyBorder="1" applyAlignment="1"/>
    <xf numFmtId="0" fontId="68" fillId="0" borderId="0" xfId="0" applyFont="1" applyAlignment="1">
      <alignment vertical="top"/>
    </xf>
    <xf numFmtId="0" fontId="68" fillId="0" borderId="0" xfId="0" applyFont="1" applyAlignment="1"/>
    <xf numFmtId="177" fontId="36" fillId="0" borderId="27" xfId="0" applyNumberFormat="1" applyFont="1" applyFill="1" applyBorder="1" applyAlignment="1" applyProtection="1">
      <alignment horizontal="right" vertical="center"/>
    </xf>
    <xf numFmtId="177" fontId="36" fillId="0" borderId="29" xfId="0" applyNumberFormat="1" applyFont="1" applyFill="1" applyBorder="1" applyAlignment="1" applyProtection="1">
      <alignment horizontal="right" vertical="center"/>
    </xf>
    <xf numFmtId="177" fontId="36" fillId="0" borderId="31" xfId="0" applyNumberFormat="1" applyFont="1" applyFill="1" applyBorder="1" applyAlignment="1" applyProtection="1">
      <alignment horizontal="right" vertical="center"/>
    </xf>
    <xf numFmtId="174" fontId="148" fillId="0" borderId="116" xfId="0" applyNumberFormat="1" applyFont="1" applyFill="1" applyBorder="1" applyAlignment="1" applyProtection="1">
      <alignment horizontal="right" vertical="center" wrapText="1"/>
    </xf>
    <xf numFmtId="177" fontId="148" fillId="0" borderId="116" xfId="0" applyNumberFormat="1" applyFont="1" applyFill="1" applyBorder="1" applyAlignment="1" applyProtection="1">
      <alignment horizontal="right" vertical="center" wrapText="1"/>
    </xf>
    <xf numFmtId="3" fontId="140" fillId="0" borderId="0" xfId="0" applyNumberFormat="1" applyFont="1" applyFill="1" applyBorder="1" applyProtection="1">
      <protection hidden="1"/>
    </xf>
    <xf numFmtId="3" fontId="49" fillId="0" borderId="0" xfId="0" applyNumberFormat="1" applyFont="1" applyFill="1" applyBorder="1" applyAlignment="1" applyProtection="1">
      <alignment horizontal="left"/>
      <protection locked="0"/>
    </xf>
    <xf numFmtId="3" fontId="8" fillId="3" borderId="0" xfId="0" applyNumberFormat="1" applyFont="1" applyFill="1" applyBorder="1" applyProtection="1">
      <protection hidden="1"/>
    </xf>
    <xf numFmtId="3" fontId="5" fillId="2" borderId="9" xfId="0" applyNumberFormat="1" applyFont="1" applyFill="1" applyBorder="1" applyAlignment="1" applyProtection="1">
      <alignment horizontal="center" vertical="center" wrapText="1"/>
      <protection hidden="1"/>
    </xf>
    <xf numFmtId="8" fontId="117" fillId="3" borderId="0" xfId="0" applyNumberFormat="1" applyFont="1" applyFill="1" applyBorder="1" applyProtection="1">
      <protection hidden="1"/>
    </xf>
    <xf numFmtId="8" fontId="118" fillId="3" borderId="0" xfId="0" applyNumberFormat="1" applyFont="1" applyFill="1"/>
    <xf numFmtId="8" fontId="118" fillId="0" borderId="0" xfId="0" applyNumberFormat="1" applyFont="1" applyFill="1"/>
    <xf numFmtId="3" fontId="36" fillId="0" borderId="11" xfId="0" applyNumberFormat="1" applyFont="1" applyFill="1" applyBorder="1" applyProtection="1"/>
    <xf numFmtId="3" fontId="149" fillId="0" borderId="11" xfId="0" applyNumberFormat="1" applyFont="1" applyFill="1" applyBorder="1" applyAlignment="1" applyProtection="1">
      <alignment horizontal="left"/>
    </xf>
    <xf numFmtId="177" fontId="149" fillId="0" borderId="161" xfId="0" applyNumberFormat="1" applyFont="1" applyFill="1" applyBorder="1" applyAlignment="1" applyProtection="1">
      <alignment horizontal="left"/>
    </xf>
    <xf numFmtId="177" fontId="37" fillId="0" borderId="31" xfId="0" applyNumberFormat="1" applyFont="1" applyFill="1" applyBorder="1" applyAlignment="1" applyProtection="1">
      <alignment vertical="center"/>
    </xf>
    <xf numFmtId="3" fontId="37" fillId="0" borderId="15" xfId="0" applyNumberFormat="1" applyFont="1" applyFill="1" applyBorder="1" applyAlignment="1" applyProtection="1">
      <alignment vertical="center"/>
      <protection hidden="1"/>
    </xf>
    <xf numFmtId="3" fontId="37" fillId="0" borderId="43" xfId="0" applyNumberFormat="1" applyFont="1" applyFill="1" applyBorder="1" applyAlignment="1" applyProtection="1">
      <alignment vertical="center"/>
      <protection hidden="1"/>
    </xf>
    <xf numFmtId="3" fontId="32" fillId="0" borderId="148" xfId="0" applyNumberFormat="1" applyFont="1" applyFill="1" applyBorder="1" applyAlignment="1">
      <alignment horizontal="center" vertical="center"/>
    </xf>
    <xf numFmtId="166" fontId="36" fillId="9" borderId="289" xfId="5" applyNumberFormat="1" applyFont="1" applyFill="1" applyBorder="1" applyAlignment="1" applyProtection="1">
      <alignment horizontal="right" vertical="center"/>
      <protection locked="0"/>
    </xf>
    <xf numFmtId="166" fontId="36" fillId="9" borderId="290" xfId="5" applyNumberFormat="1" applyFont="1" applyFill="1" applyBorder="1" applyAlignment="1" applyProtection="1">
      <alignment horizontal="right" vertical="center"/>
      <protection locked="0"/>
    </xf>
    <xf numFmtId="178" fontId="36" fillId="3" borderId="270" xfId="0" applyNumberFormat="1" applyFont="1" applyFill="1" applyBorder="1" applyAlignment="1" applyProtection="1">
      <alignment horizontal="center" vertical="center"/>
      <protection locked="0"/>
    </xf>
    <xf numFmtId="178" fontId="36" fillId="3" borderId="132" xfId="0" applyNumberFormat="1" applyFont="1" applyFill="1" applyBorder="1" applyAlignment="1" applyProtection="1">
      <alignment horizontal="center" vertical="center"/>
      <protection locked="0"/>
    </xf>
    <xf numFmtId="178" fontId="36" fillId="3" borderId="130" xfId="0" applyNumberFormat="1" applyFont="1" applyFill="1" applyBorder="1" applyAlignment="1" applyProtection="1">
      <alignment horizontal="center" vertical="center"/>
      <protection locked="0"/>
    </xf>
    <xf numFmtId="178" fontId="36" fillId="3" borderId="75" xfId="0" applyNumberFormat="1" applyFont="1" applyFill="1" applyBorder="1" applyAlignment="1" applyProtection="1">
      <alignment horizontal="center" vertical="center"/>
      <protection locked="0"/>
    </xf>
    <xf numFmtId="178" fontId="36" fillId="3" borderId="88" xfId="0" applyNumberFormat="1" applyFont="1" applyFill="1" applyBorder="1" applyAlignment="1" applyProtection="1">
      <alignment horizontal="center" vertical="center"/>
      <protection locked="0"/>
    </xf>
    <xf numFmtId="178" fontId="36" fillId="3" borderId="86" xfId="0" applyNumberFormat="1" applyFont="1" applyFill="1" applyBorder="1" applyAlignment="1" applyProtection="1">
      <alignment horizontal="center" vertical="center"/>
      <protection locked="0"/>
    </xf>
    <xf numFmtId="174" fontId="32" fillId="9" borderId="148" xfId="0" applyNumberFormat="1" applyFont="1" applyFill="1" applyBorder="1" applyProtection="1"/>
    <xf numFmtId="177" fontId="32" fillId="0" borderId="117" xfId="0" applyNumberFormat="1" applyFont="1" applyBorder="1"/>
    <xf numFmtId="177" fontId="32" fillId="0" borderId="238" xfId="0" applyNumberFormat="1" applyFont="1" applyBorder="1"/>
    <xf numFmtId="3" fontId="33" fillId="9" borderId="292" xfId="0" applyNumberFormat="1" applyFont="1" applyFill="1" applyBorder="1" applyAlignment="1">
      <alignment horizontal="center" vertical="center" wrapText="1"/>
    </xf>
    <xf numFmtId="3" fontId="49" fillId="0" borderId="0" xfId="0" applyNumberFormat="1" applyFont="1"/>
    <xf numFmtId="0" fontId="32" fillId="0" borderId="0" xfId="0" applyFont="1" applyFill="1" applyBorder="1" applyAlignment="1">
      <alignment horizontal="center"/>
    </xf>
    <xf numFmtId="0" fontId="15" fillId="0" borderId="0" xfId="0" applyFont="1" applyFill="1" applyBorder="1" applyAlignment="1">
      <alignment horizontal="center"/>
    </xf>
    <xf numFmtId="0" fontId="0" fillId="0" borderId="0" xfId="0" applyFill="1" applyBorder="1" applyAlignment="1"/>
    <xf numFmtId="3" fontId="37" fillId="0" borderId="4" xfId="0" applyNumberFormat="1" applyFont="1" applyBorder="1" applyAlignment="1">
      <alignment vertical="center"/>
    </xf>
    <xf numFmtId="3" fontId="49" fillId="0" borderId="0" xfId="0" applyNumberFormat="1" applyFont="1" applyBorder="1" applyAlignment="1" applyProtection="1">
      <alignment vertical="center"/>
    </xf>
    <xf numFmtId="3" fontId="39" fillId="0" borderId="0" xfId="0" applyNumberFormat="1" applyFont="1" applyFill="1" applyBorder="1" applyAlignment="1">
      <alignment vertical="center"/>
    </xf>
    <xf numFmtId="3" fontId="40" fillId="0" borderId="0" xfId="0" applyNumberFormat="1" applyFont="1" applyFill="1" applyBorder="1" applyAlignment="1">
      <alignment vertical="center"/>
    </xf>
    <xf numFmtId="3" fontId="57" fillId="0" borderId="0" xfId="0" applyNumberFormat="1" applyFont="1" applyFill="1" applyBorder="1" applyAlignment="1">
      <alignment vertical="center"/>
    </xf>
    <xf numFmtId="174" fontId="37" fillId="0" borderId="23" xfId="0" applyNumberFormat="1" applyFont="1" applyFill="1" applyBorder="1" applyAlignment="1" applyProtection="1">
      <alignment horizontal="right" vertical="center" wrapText="1"/>
    </xf>
    <xf numFmtId="174" fontId="37" fillId="0" borderId="30" xfId="0" applyNumberFormat="1" applyFont="1" applyFill="1" applyBorder="1" applyAlignment="1" applyProtection="1">
      <alignment horizontal="right" vertical="center" wrapText="1"/>
    </xf>
    <xf numFmtId="177" fontId="36" fillId="0" borderId="22" xfId="0" applyNumberFormat="1" applyFont="1" applyFill="1" applyBorder="1" applyProtection="1"/>
    <xf numFmtId="166" fontId="36" fillId="0" borderId="77" xfId="5" applyNumberFormat="1" applyFont="1" applyFill="1" applyBorder="1" applyAlignment="1">
      <alignment horizontal="right" vertical="center"/>
    </xf>
    <xf numFmtId="166" fontId="36" fillId="0" borderId="255" xfId="0" applyNumberFormat="1" applyFont="1" applyFill="1" applyBorder="1" applyAlignment="1" applyProtection="1">
      <alignment horizontal="right" vertical="center"/>
    </xf>
    <xf numFmtId="8" fontId="32" fillId="12" borderId="42" xfId="0" applyNumberFormat="1" applyFont="1" applyFill="1" applyBorder="1" applyAlignment="1" applyProtection="1">
      <alignment horizontal="center" vertical="center"/>
    </xf>
    <xf numFmtId="8" fontId="32" fillId="0" borderId="0" xfId="0" applyNumberFormat="1" applyFont="1" applyFill="1" applyBorder="1" applyAlignment="1" applyProtection="1">
      <alignment horizontal="left"/>
    </xf>
    <xf numFmtId="8" fontId="52" fillId="0" borderId="0" xfId="0" applyNumberFormat="1" applyFont="1" applyFill="1" applyBorder="1" applyProtection="1"/>
    <xf numFmtId="8" fontId="32" fillId="0" borderId="0" xfId="0" applyNumberFormat="1" applyFont="1" applyFill="1" applyBorder="1" applyProtection="1"/>
    <xf numFmtId="8" fontId="32" fillId="0" borderId="32" xfId="0" applyNumberFormat="1" applyFont="1" applyFill="1" applyBorder="1" applyProtection="1"/>
    <xf numFmtId="8" fontId="32" fillId="0" borderId="8" xfId="0" applyNumberFormat="1" applyFont="1" applyFill="1" applyBorder="1" applyProtection="1"/>
    <xf numFmtId="174" fontId="36" fillId="0" borderId="26" xfId="0" applyNumberFormat="1" applyFont="1" applyFill="1" applyBorder="1" applyProtection="1">
      <protection locked="0"/>
    </xf>
    <xf numFmtId="3" fontId="36" fillId="8" borderId="0" xfId="0" applyNumberFormat="1" applyFont="1" applyFill="1" applyBorder="1" applyProtection="1">
      <protection hidden="1"/>
    </xf>
    <xf numFmtId="3" fontId="43" fillId="8" borderId="0" xfId="0" applyNumberFormat="1" applyFont="1" applyFill="1" applyBorder="1" applyProtection="1">
      <protection hidden="1"/>
    </xf>
    <xf numFmtId="3" fontId="130" fillId="8" borderId="0" xfId="0" applyNumberFormat="1" applyFont="1" applyFill="1" applyBorder="1" applyAlignment="1" applyProtection="1">
      <alignment horizontal="center"/>
      <protection hidden="1"/>
    </xf>
    <xf numFmtId="174" fontId="120" fillId="0" borderId="24" xfId="0" applyNumberFormat="1" applyFont="1" applyFill="1" applyBorder="1" applyAlignment="1" applyProtection="1">
      <alignment vertical="center"/>
    </xf>
    <xf numFmtId="174" fontId="120" fillId="0" borderId="25" xfId="0" applyNumberFormat="1" applyFont="1" applyFill="1" applyBorder="1" applyAlignment="1" applyProtection="1">
      <alignment vertical="center"/>
    </xf>
    <xf numFmtId="174" fontId="120" fillId="0" borderId="26" xfId="0" applyNumberFormat="1" applyFont="1" applyFill="1" applyBorder="1" applyAlignment="1" applyProtection="1">
      <alignment vertical="center"/>
    </xf>
    <xf numFmtId="174" fontId="120" fillId="0" borderId="27" xfId="0" applyNumberFormat="1" applyFont="1" applyFill="1" applyBorder="1" applyAlignment="1" applyProtection="1">
      <alignment vertical="center"/>
    </xf>
    <xf numFmtId="174" fontId="120" fillId="0" borderId="28" xfId="0" applyNumberFormat="1" applyFont="1" applyFill="1" applyBorder="1" applyAlignment="1" applyProtection="1">
      <alignment vertical="center"/>
    </xf>
    <xf numFmtId="174" fontId="120" fillId="0" borderId="29" xfId="0" applyNumberFormat="1" applyFont="1" applyFill="1" applyBorder="1" applyAlignment="1" applyProtection="1">
      <alignment vertical="center"/>
    </xf>
    <xf numFmtId="174" fontId="120" fillId="0" borderId="30" xfId="0" applyNumberFormat="1" applyFont="1" applyFill="1" applyBorder="1" applyAlignment="1" applyProtection="1">
      <alignment vertical="center"/>
    </xf>
    <xf numFmtId="174" fontId="120" fillId="0" borderId="31" xfId="0" applyNumberFormat="1" applyFont="1" applyFill="1" applyBorder="1" applyAlignment="1" applyProtection="1">
      <alignment vertical="center"/>
    </xf>
    <xf numFmtId="3" fontId="41" fillId="8" borderId="0" xfId="0" applyNumberFormat="1" applyFont="1" applyFill="1" applyBorder="1" applyProtection="1">
      <protection hidden="1"/>
    </xf>
    <xf numFmtId="179" fontId="35" fillId="3" borderId="24" xfId="0" applyNumberFormat="1" applyFont="1" applyFill="1" applyBorder="1" applyAlignment="1" applyProtection="1"/>
    <xf numFmtId="179" fontId="35" fillId="3" borderId="25" xfId="0" applyNumberFormat="1" applyFont="1" applyFill="1" applyBorder="1" applyAlignment="1" applyProtection="1"/>
    <xf numFmtId="174" fontId="36" fillId="3" borderId="32" xfId="5" applyNumberFormat="1" applyFont="1" applyFill="1" applyBorder="1" applyAlignment="1" applyProtection="1">
      <alignment horizontal="right"/>
      <protection hidden="1"/>
    </xf>
    <xf numFmtId="8" fontId="32" fillId="0" borderId="24" xfId="0" applyNumberFormat="1" applyFont="1" applyFill="1" applyBorder="1" applyAlignment="1" applyProtection="1">
      <alignment horizontal="center" vertical="center" wrapText="1"/>
    </xf>
    <xf numFmtId="8" fontId="32" fillId="0" borderId="30" xfId="0" applyNumberFormat="1" applyFont="1" applyFill="1" applyBorder="1" applyAlignment="1" applyProtection="1">
      <alignment horizontal="center" vertical="center" wrapText="1"/>
    </xf>
    <xf numFmtId="179" fontId="35" fillId="0" borderId="24" xfId="0" applyNumberFormat="1" applyFont="1" applyFill="1" applyBorder="1" applyAlignment="1" applyProtection="1"/>
    <xf numFmtId="8" fontId="32" fillId="0" borderId="18" xfId="0" applyNumberFormat="1" applyFont="1" applyFill="1" applyBorder="1" applyAlignment="1" applyProtection="1">
      <alignment horizontal="right"/>
    </xf>
    <xf numFmtId="8" fontId="32" fillId="8" borderId="294" xfId="5" applyNumberFormat="1" applyFont="1" applyFill="1" applyBorder="1" applyAlignment="1" applyProtection="1">
      <alignment vertical="center" wrapText="1"/>
    </xf>
    <xf numFmtId="6" fontId="36" fillId="0" borderId="0" xfId="5" applyNumberFormat="1" applyFont="1" applyFill="1" applyBorder="1" applyAlignment="1" applyProtection="1">
      <alignment horizontal="center" vertical="center"/>
      <protection locked="0"/>
    </xf>
    <xf numFmtId="174" fontId="32" fillId="0" borderId="0" xfId="0" applyNumberFormat="1" applyFont="1" applyFill="1" applyBorder="1" applyAlignment="1" applyProtection="1">
      <alignment vertical="center"/>
    </xf>
    <xf numFmtId="3" fontId="35" fillId="9" borderId="11" xfId="0" applyNumberFormat="1" applyFont="1" applyFill="1" applyBorder="1" applyAlignment="1" applyProtection="1">
      <alignment vertical="center"/>
      <protection hidden="1"/>
    </xf>
    <xf numFmtId="174" fontId="32" fillId="0" borderId="139" xfId="0" applyNumberFormat="1" applyFont="1" applyFill="1" applyBorder="1" applyAlignment="1" applyProtection="1">
      <alignment vertical="center"/>
    </xf>
    <xf numFmtId="166" fontId="32" fillId="0" borderId="0" xfId="0" applyNumberFormat="1" applyFont="1" applyFill="1" applyBorder="1" applyAlignment="1" applyProtection="1">
      <alignment horizontal="right" vertical="center"/>
    </xf>
    <xf numFmtId="8" fontId="32" fillId="0" borderId="0" xfId="5" applyNumberFormat="1" applyFont="1" applyFill="1" applyBorder="1" applyAlignment="1" applyProtection="1">
      <alignment horizontal="center" vertical="center" wrapText="1"/>
    </xf>
    <xf numFmtId="174" fontId="36" fillId="0" borderId="0" xfId="5" applyNumberFormat="1" applyFont="1" applyFill="1" applyBorder="1" applyAlignment="1" applyProtection="1">
      <alignment vertical="center"/>
      <protection locked="0"/>
    </xf>
    <xf numFmtId="178" fontId="32" fillId="0" borderId="0" xfId="5" applyNumberFormat="1" applyFont="1" applyFill="1" applyBorder="1" applyAlignment="1" applyProtection="1">
      <alignment vertical="center"/>
    </xf>
    <xf numFmtId="177" fontId="0" fillId="0" borderId="279" xfId="0" applyNumberFormat="1" applyBorder="1" applyAlignment="1">
      <alignment horizontal="right" vertical="center"/>
    </xf>
    <xf numFmtId="177" fontId="151" fillId="0" borderId="120" xfId="5" applyNumberFormat="1" applyFont="1" applyFill="1" applyBorder="1" applyAlignment="1" applyProtection="1">
      <alignment horizontal="center" vertical="center"/>
      <protection locked="0"/>
    </xf>
    <xf numFmtId="177" fontId="118" fillId="0" borderId="295" xfId="0" applyNumberFormat="1" applyFont="1" applyFill="1" applyBorder="1" applyAlignment="1">
      <alignment horizontal="center" vertical="center"/>
    </xf>
    <xf numFmtId="177" fontId="32" fillId="0" borderId="157" xfId="5" applyNumberFormat="1" applyFont="1" applyFill="1" applyBorder="1" applyAlignment="1" applyProtection="1">
      <alignment horizontal="right" vertical="center"/>
    </xf>
    <xf numFmtId="177" fontId="3" fillId="0" borderId="120" xfId="0" applyNumberFormat="1" applyFont="1" applyFill="1" applyBorder="1" applyAlignment="1">
      <alignment horizontal="right" vertical="center"/>
    </xf>
    <xf numFmtId="177" fontId="3" fillId="0" borderId="295" xfId="0" applyNumberFormat="1" applyFont="1" applyFill="1" applyBorder="1" applyAlignment="1">
      <alignment horizontal="right" vertical="center"/>
    </xf>
    <xf numFmtId="174" fontId="32" fillId="0" borderId="0" xfId="0" applyNumberFormat="1" applyFont="1" applyFill="1" applyBorder="1" applyAlignment="1" applyProtection="1">
      <alignment horizontal="right" vertical="center"/>
    </xf>
    <xf numFmtId="8" fontId="32" fillId="8" borderId="17" xfId="5" applyNumberFormat="1" applyFont="1" applyFill="1" applyBorder="1" applyAlignment="1" applyProtection="1">
      <alignment vertical="center" wrapText="1"/>
    </xf>
    <xf numFmtId="166" fontId="32" fillId="0" borderId="88" xfId="0" applyNumberFormat="1" applyFont="1" applyFill="1" applyBorder="1" applyAlignment="1" applyProtection="1">
      <alignment horizontal="right" vertical="center"/>
    </xf>
    <xf numFmtId="8" fontId="32" fillId="0" borderId="17" xfId="0" applyNumberFormat="1" applyFont="1" applyFill="1" applyBorder="1" applyAlignment="1" applyProtection="1">
      <alignment horizontal="right"/>
    </xf>
    <xf numFmtId="177" fontId="118" fillId="0" borderId="120" xfId="0" applyNumberFormat="1" applyFont="1" applyFill="1" applyBorder="1" applyAlignment="1">
      <alignment horizontal="center" vertical="center"/>
    </xf>
    <xf numFmtId="177" fontId="118" fillId="0" borderId="237" xfId="0" applyNumberFormat="1" applyFont="1" applyFill="1" applyBorder="1" applyAlignment="1">
      <alignment horizontal="center" vertical="center"/>
    </xf>
    <xf numFmtId="8" fontId="36" fillId="0" borderId="161" xfId="0" applyNumberFormat="1" applyFont="1" applyFill="1" applyBorder="1" applyAlignment="1" applyProtection="1">
      <alignment vertical="center"/>
    </xf>
    <xf numFmtId="0" fontId="36" fillId="0" borderId="19" xfId="0" applyFont="1" applyFill="1" applyBorder="1" applyProtection="1"/>
    <xf numFmtId="174" fontId="125" fillId="8" borderId="27" xfId="0" applyNumberFormat="1" applyFont="1" applyFill="1" applyBorder="1" applyAlignment="1" applyProtection="1"/>
    <xf numFmtId="179" fontId="53" fillId="8" borderId="26" xfId="0" applyNumberFormat="1" applyFont="1" applyFill="1" applyBorder="1" applyAlignment="1" applyProtection="1"/>
    <xf numFmtId="179" fontId="53" fillId="8" borderId="27" xfId="0" applyNumberFormat="1" applyFont="1" applyFill="1" applyBorder="1" applyAlignment="1" applyProtection="1"/>
    <xf numFmtId="177" fontId="36" fillId="0" borderId="188" xfId="0" applyNumberFormat="1" applyFont="1" applyFill="1" applyBorder="1" applyProtection="1">
      <protection locked="0"/>
    </xf>
    <xf numFmtId="177" fontId="36" fillId="16" borderId="296" xfId="5" applyNumberFormat="1" applyFont="1" applyFill="1" applyBorder="1" applyAlignment="1" applyProtection="1">
      <alignment horizontal="right" vertical="center"/>
      <protection locked="0"/>
    </xf>
    <xf numFmtId="179" fontId="35" fillId="3" borderId="33" xfId="0" applyNumberFormat="1" applyFont="1" applyFill="1" applyBorder="1" applyAlignment="1" applyProtection="1"/>
    <xf numFmtId="179" fontId="53" fillId="3" borderId="32" xfId="0" applyNumberFormat="1" applyFont="1" applyFill="1" applyBorder="1" applyAlignment="1" applyProtection="1"/>
    <xf numFmtId="179" fontId="35" fillId="0" borderId="32" xfId="0" applyNumberFormat="1" applyFont="1" applyFill="1" applyBorder="1" applyAlignment="1" applyProtection="1"/>
    <xf numFmtId="179" fontId="53" fillId="8" borderId="32" xfId="0" applyNumberFormat="1" applyFont="1" applyFill="1" applyBorder="1" applyAlignment="1" applyProtection="1"/>
    <xf numFmtId="179" fontId="35" fillId="0" borderId="8" xfId="0" applyNumberFormat="1" applyFont="1" applyFill="1" applyBorder="1" applyProtection="1"/>
    <xf numFmtId="174" fontId="32" fillId="0" borderId="25" xfId="0" applyNumberFormat="1" applyFont="1" applyFill="1" applyBorder="1" applyAlignment="1" applyProtection="1"/>
    <xf numFmtId="0" fontId="33" fillId="0" borderId="0" xfId="0" applyNumberFormat="1" applyFont="1" applyFill="1" applyBorder="1" applyAlignment="1" applyProtection="1">
      <alignment horizontal="center" vertical="center"/>
      <protection hidden="1"/>
    </xf>
    <xf numFmtId="3" fontId="33" fillId="0" borderId="0" xfId="0" applyNumberFormat="1" applyFont="1" applyFill="1" applyBorder="1" applyAlignment="1" applyProtection="1">
      <alignment horizontal="center" vertical="center"/>
      <protection hidden="1"/>
    </xf>
    <xf numFmtId="0" fontId="17" fillId="0" borderId="0" xfId="0" applyFont="1" applyFill="1" applyBorder="1" applyAlignment="1">
      <alignment horizontal="center"/>
    </xf>
    <xf numFmtId="177" fontId="72" fillId="0" borderId="0" xfId="0" applyNumberFormat="1" applyFont="1" applyFill="1" applyBorder="1" applyAlignment="1">
      <alignment horizontal="center"/>
    </xf>
    <xf numFmtId="177" fontId="37" fillId="0" borderId="34" xfId="0" applyNumberFormat="1" applyFont="1" applyFill="1" applyBorder="1" applyAlignment="1" applyProtection="1">
      <alignment horizontal="right" vertical="center" wrapText="1"/>
    </xf>
    <xf numFmtId="3" fontId="37" fillId="0" borderId="12" xfId="0" applyNumberFormat="1" applyFont="1" applyFill="1" applyBorder="1" applyAlignment="1" applyProtection="1">
      <alignment horizontal="right" vertical="center"/>
      <protection hidden="1"/>
    </xf>
    <xf numFmtId="3" fontId="37" fillId="0" borderId="25" xfId="0" applyNumberFormat="1" applyFont="1" applyFill="1" applyBorder="1" applyAlignment="1" applyProtection="1">
      <alignment horizontal="right" vertical="center"/>
      <protection hidden="1"/>
    </xf>
    <xf numFmtId="177" fontId="37" fillId="0" borderId="43" xfId="0" applyNumberFormat="1" applyFont="1" applyFill="1" applyBorder="1" applyAlignment="1" applyProtection="1">
      <alignment horizontal="right" vertical="center" wrapText="1"/>
    </xf>
    <xf numFmtId="3" fontId="37" fillId="0" borderId="15" xfId="0" applyNumberFormat="1" applyFont="1" applyFill="1" applyBorder="1" applyAlignment="1" applyProtection="1">
      <alignment horizontal="right" vertical="center"/>
      <protection hidden="1"/>
    </xf>
    <xf numFmtId="3" fontId="37" fillId="0" borderId="31" xfId="0" applyNumberFormat="1" applyFont="1" applyFill="1" applyBorder="1" applyAlignment="1" applyProtection="1">
      <alignment horizontal="right" vertical="center"/>
      <protection hidden="1"/>
    </xf>
    <xf numFmtId="0" fontId="0" fillId="0" borderId="0" xfId="0" applyBorder="1" applyAlignment="1">
      <alignment horizontal="center" vertical="center"/>
    </xf>
    <xf numFmtId="0" fontId="0" fillId="0" borderId="0" xfId="0" applyBorder="1" applyAlignment="1">
      <alignment horizontal="center" vertical="center" wrapText="1"/>
    </xf>
    <xf numFmtId="8" fontId="32" fillId="0" borderId="11" xfId="5" applyNumberFormat="1" applyFont="1" applyFill="1" applyBorder="1" applyAlignment="1" applyProtection="1">
      <alignment vertical="center" wrapText="1"/>
    </xf>
    <xf numFmtId="166" fontId="32" fillId="0" borderId="11" xfId="0" applyNumberFormat="1" applyFont="1" applyFill="1" applyBorder="1" applyAlignment="1" applyProtection="1">
      <alignment horizontal="right" vertical="center"/>
    </xf>
    <xf numFmtId="166" fontId="32" fillId="0" borderId="11" xfId="0" applyNumberFormat="1" applyFont="1" applyFill="1" applyBorder="1" applyAlignment="1" applyProtection="1">
      <alignment vertical="center"/>
    </xf>
    <xf numFmtId="8" fontId="32" fillId="0" borderId="11" xfId="0" applyNumberFormat="1" applyFont="1" applyFill="1" applyBorder="1" applyAlignment="1" applyProtection="1">
      <alignment horizontal="right"/>
    </xf>
    <xf numFmtId="166" fontId="32" fillId="0" borderId="297" xfId="0" applyNumberFormat="1" applyFont="1" applyFill="1" applyBorder="1" applyAlignment="1" applyProtection="1">
      <alignment horizontal="right" vertical="center"/>
    </xf>
    <xf numFmtId="174" fontId="32" fillId="0" borderId="10" xfId="0" applyNumberFormat="1" applyFont="1" applyFill="1" applyBorder="1" applyAlignment="1" applyProtection="1">
      <alignment horizontal="right" vertical="center"/>
    </xf>
    <xf numFmtId="174" fontId="32" fillId="0" borderId="13" xfId="0" applyNumberFormat="1" applyFont="1" applyFill="1" applyBorder="1" applyAlignment="1" applyProtection="1">
      <alignment horizontal="right" vertical="center"/>
    </xf>
    <xf numFmtId="174" fontId="36" fillId="3" borderId="23" xfId="0" applyNumberFormat="1" applyFont="1" applyFill="1" applyBorder="1" applyAlignment="1" applyProtection="1">
      <alignment vertical="center"/>
      <protection locked="0"/>
    </xf>
    <xf numFmtId="174" fontId="36" fillId="3" borderId="30" xfId="0" applyNumberFormat="1" applyFont="1" applyFill="1" applyBorder="1" applyAlignment="1" applyProtection="1">
      <alignment vertical="center"/>
      <protection locked="0"/>
    </xf>
    <xf numFmtId="9" fontId="36" fillId="3" borderId="42" xfId="0" applyNumberFormat="1" applyFont="1" applyFill="1" applyBorder="1" applyAlignment="1" applyProtection="1">
      <alignment vertical="center"/>
      <protection locked="0"/>
    </xf>
    <xf numFmtId="174" fontId="36" fillId="0" borderId="31" xfId="0" applyNumberFormat="1" applyFont="1" applyFill="1" applyBorder="1" applyProtection="1"/>
    <xf numFmtId="8" fontId="39" fillId="0" borderId="0" xfId="0" applyNumberFormat="1" applyFont="1" applyFill="1" applyBorder="1" applyAlignment="1" applyProtection="1"/>
    <xf numFmtId="49" fontId="37" fillId="0" borderId="0" xfId="0" applyNumberFormat="1" applyFont="1" applyFill="1" applyBorder="1" applyAlignment="1">
      <alignment horizontal="center" vertical="justify"/>
    </xf>
    <xf numFmtId="0" fontId="36" fillId="0" borderId="261" xfId="0" applyFont="1" applyFill="1" applyBorder="1" applyAlignment="1" applyProtection="1">
      <alignment horizontal="left"/>
    </xf>
    <xf numFmtId="174" fontId="36" fillId="0" borderId="298" xfId="0" applyNumberFormat="1" applyFont="1" applyFill="1" applyBorder="1" applyAlignment="1" applyProtection="1"/>
    <xf numFmtId="166" fontId="36" fillId="0" borderId="260" xfId="5" applyNumberFormat="1" applyFont="1" applyFill="1" applyBorder="1" applyProtection="1">
      <protection locked="0"/>
    </xf>
    <xf numFmtId="174" fontId="36" fillId="0" borderId="260" xfId="5" applyNumberFormat="1" applyFont="1" applyFill="1" applyBorder="1" applyAlignment="1" applyProtection="1">
      <alignment horizontal="right"/>
      <protection hidden="1"/>
    </xf>
    <xf numFmtId="166" fontId="36" fillId="0" borderId="299" xfId="5" applyNumberFormat="1" applyFont="1" applyFill="1" applyBorder="1" applyProtection="1"/>
    <xf numFmtId="174" fontId="36" fillId="3" borderId="301" xfId="5" applyNumberFormat="1" applyFont="1" applyFill="1" applyBorder="1" applyAlignment="1" applyProtection="1">
      <alignment horizontal="right"/>
      <protection hidden="1"/>
    </xf>
    <xf numFmtId="0" fontId="36" fillId="0" borderId="261" xfId="0" applyFont="1" applyFill="1" applyBorder="1" applyProtection="1"/>
    <xf numFmtId="172" fontId="37" fillId="0" borderId="260" xfId="5" applyNumberFormat="1" applyFont="1" applyFill="1" applyBorder="1" applyAlignment="1" applyProtection="1">
      <alignment horizontal="center"/>
      <protection hidden="1"/>
    </xf>
    <xf numFmtId="166" fontId="36" fillId="0" borderId="260" xfId="5" applyNumberFormat="1" applyFont="1" applyFill="1" applyBorder="1" applyProtection="1"/>
    <xf numFmtId="168" fontId="36" fillId="8" borderId="160" xfId="0" applyNumberFormat="1" applyFont="1" applyFill="1" applyBorder="1" applyAlignment="1" applyProtection="1">
      <alignment horizontal="center" vertical="center"/>
      <protection locked="0"/>
    </xf>
    <xf numFmtId="0" fontId="32" fillId="8" borderId="11" xfId="0" applyFont="1" applyFill="1" applyBorder="1" applyProtection="1"/>
    <xf numFmtId="166" fontId="32" fillId="0" borderId="25" xfId="0" applyNumberFormat="1" applyFont="1" applyFill="1" applyBorder="1" applyAlignment="1" applyProtection="1">
      <alignment horizontal="right" vertical="center"/>
    </xf>
    <xf numFmtId="166" fontId="32" fillId="0" borderId="44" xfId="0" applyNumberFormat="1" applyFont="1" applyFill="1" applyBorder="1" applyAlignment="1" applyProtection="1">
      <alignment horizontal="right" vertical="center"/>
    </xf>
    <xf numFmtId="174" fontId="32" fillId="4" borderId="7" xfId="0" applyNumberFormat="1" applyFont="1" applyFill="1" applyBorder="1" applyAlignment="1" applyProtection="1">
      <alignment horizontal="right"/>
    </xf>
    <xf numFmtId="3" fontId="36" fillId="0" borderId="1" xfId="0" applyNumberFormat="1" applyFont="1" applyFill="1" applyBorder="1"/>
    <xf numFmtId="3" fontId="36" fillId="0" borderId="190" xfId="0" applyNumberFormat="1" applyFont="1" applyFill="1" applyBorder="1"/>
    <xf numFmtId="174" fontId="36" fillId="0" borderId="224" xfId="0" applyNumberFormat="1" applyFont="1" applyFill="1" applyBorder="1" applyAlignment="1" applyProtection="1">
      <alignment vertical="center"/>
    </xf>
    <xf numFmtId="174" fontId="36" fillId="0" borderId="107" xfId="0" applyNumberFormat="1" applyFont="1" applyFill="1" applyBorder="1" applyAlignment="1" applyProtection="1">
      <alignment horizontal="right" vertical="center"/>
    </xf>
    <xf numFmtId="174" fontId="36" fillId="0" borderId="227" xfId="0" applyNumberFormat="1" applyFont="1" applyFill="1" applyBorder="1" applyAlignment="1" applyProtection="1">
      <alignment horizontal="right" vertical="center"/>
    </xf>
    <xf numFmtId="174" fontId="36" fillId="0" borderId="227" xfId="0" applyNumberFormat="1" applyFont="1" applyFill="1" applyBorder="1" applyAlignment="1" applyProtection="1">
      <alignment horizontal="right" vertical="center"/>
      <protection hidden="1"/>
    </xf>
    <xf numFmtId="174" fontId="36" fillId="0" borderId="224" xfId="0" applyNumberFormat="1" applyFont="1" applyFill="1" applyBorder="1" applyAlignment="1" applyProtection="1">
      <alignment vertical="center"/>
      <protection hidden="1"/>
    </xf>
    <xf numFmtId="174" fontId="36" fillId="0" borderId="107" xfId="0" quotePrefix="1" applyNumberFormat="1" applyFont="1" applyFill="1" applyBorder="1" applyAlignment="1" applyProtection="1">
      <alignment vertical="center"/>
      <protection hidden="1"/>
    </xf>
    <xf numFmtId="174" fontId="36" fillId="0" borderId="107" xfId="0" applyNumberFormat="1" applyFont="1" applyFill="1" applyBorder="1" applyAlignment="1" applyProtection="1">
      <alignment vertical="center"/>
      <protection hidden="1"/>
    </xf>
    <xf numFmtId="0" fontId="8" fillId="8" borderId="0" xfId="0" applyFont="1" applyFill="1" applyAlignment="1" applyProtection="1">
      <alignment vertical="center"/>
      <protection hidden="1"/>
    </xf>
    <xf numFmtId="3" fontId="50" fillId="0" borderId="0" xfId="0" applyNumberFormat="1" applyFont="1" applyBorder="1"/>
    <xf numFmtId="3" fontId="49" fillId="0" borderId="0" xfId="0" applyNumberFormat="1" applyFont="1" applyFill="1" applyBorder="1" applyProtection="1">
      <protection hidden="1"/>
    </xf>
    <xf numFmtId="0" fontId="33" fillId="9" borderId="53" xfId="0" applyNumberFormat="1" applyFont="1" applyFill="1" applyBorder="1" applyAlignment="1" applyProtection="1">
      <alignment horizontal="center" vertical="center"/>
    </xf>
    <xf numFmtId="0" fontId="33" fillId="9" borderId="55" xfId="0" applyNumberFormat="1" applyFont="1" applyFill="1" applyBorder="1" applyAlignment="1" applyProtection="1">
      <alignment horizontal="center" vertical="center"/>
    </xf>
    <xf numFmtId="0" fontId="33" fillId="9" borderId="260" xfId="0" applyNumberFormat="1" applyFont="1" applyFill="1" applyBorder="1" applyAlignment="1" applyProtection="1">
      <alignment horizontal="center" vertical="center"/>
    </xf>
    <xf numFmtId="174" fontId="37" fillId="0" borderId="302" xfId="0" applyNumberFormat="1" applyFont="1" applyFill="1" applyBorder="1" applyAlignment="1" applyProtection="1">
      <alignment vertical="center"/>
    </xf>
    <xf numFmtId="174" fontId="37" fillId="0" borderId="303" xfId="0" applyNumberFormat="1" applyFont="1" applyFill="1" applyBorder="1" applyAlignment="1" applyProtection="1">
      <alignment vertical="center"/>
    </xf>
    <xf numFmtId="174" fontId="37" fillId="0" borderId="300" xfId="0" applyNumberFormat="1" applyFont="1" applyFill="1" applyBorder="1" applyAlignment="1" applyProtection="1">
      <alignment vertical="center"/>
    </xf>
    <xf numFmtId="3" fontId="37" fillId="0" borderId="302" xfId="0" applyNumberFormat="1" applyFont="1" applyFill="1" applyBorder="1" applyAlignment="1" applyProtection="1">
      <alignment vertical="center"/>
      <protection hidden="1"/>
    </xf>
    <xf numFmtId="3" fontId="37" fillId="0" borderId="262" xfId="0" applyNumberFormat="1" applyFont="1" applyFill="1" applyBorder="1" applyAlignment="1" applyProtection="1">
      <alignment vertical="center"/>
      <protection hidden="1"/>
    </xf>
    <xf numFmtId="0" fontId="33" fillId="9" borderId="10" xfId="0" applyNumberFormat="1" applyFont="1" applyFill="1" applyBorder="1" applyAlignment="1" applyProtection="1">
      <alignment horizontal="center" vertical="center"/>
      <protection hidden="1"/>
    </xf>
    <xf numFmtId="0" fontId="33" fillId="9" borderId="15" xfId="0" applyNumberFormat="1" applyFont="1" applyFill="1" applyBorder="1" applyAlignment="1" applyProtection="1">
      <alignment horizontal="center" vertical="center"/>
      <protection hidden="1"/>
    </xf>
    <xf numFmtId="0" fontId="33" fillId="9" borderId="302" xfId="0" applyNumberFormat="1" applyFont="1" applyFill="1" applyBorder="1" applyAlignment="1" applyProtection="1">
      <alignment horizontal="center" vertical="center"/>
      <protection hidden="1"/>
    </xf>
    <xf numFmtId="174" fontId="37" fillId="0" borderId="261" xfId="0" applyNumberFormat="1" applyFont="1" applyFill="1" applyBorder="1" applyAlignment="1" applyProtection="1">
      <alignment horizontal="right" vertical="center" wrapText="1"/>
    </xf>
    <xf numFmtId="174" fontId="37" fillId="0" borderId="303" xfId="0" applyNumberFormat="1" applyFont="1" applyFill="1" applyBorder="1" applyAlignment="1" applyProtection="1">
      <alignment horizontal="right" vertical="center" wrapText="1"/>
    </xf>
    <xf numFmtId="177" fontId="37" fillId="0" borderId="262" xfId="0" applyNumberFormat="1" applyFont="1" applyFill="1" applyBorder="1" applyAlignment="1" applyProtection="1">
      <alignment horizontal="right" vertical="center" wrapText="1"/>
    </xf>
    <xf numFmtId="3" fontId="37" fillId="0" borderId="302" xfId="0" applyNumberFormat="1" applyFont="1" applyFill="1" applyBorder="1" applyAlignment="1" applyProtection="1">
      <alignment horizontal="right" vertical="center"/>
      <protection hidden="1"/>
    </xf>
    <xf numFmtId="3" fontId="37" fillId="0" borderId="300" xfId="0" applyNumberFormat="1" applyFont="1" applyFill="1" applyBorder="1" applyAlignment="1" applyProtection="1">
      <alignment horizontal="right" vertical="center"/>
      <protection hidden="1"/>
    </xf>
    <xf numFmtId="3" fontId="49" fillId="0" borderId="0" xfId="0" applyNumberFormat="1" applyFont="1" applyFill="1" applyBorder="1" applyAlignment="1" applyProtection="1">
      <alignment horizontal="left" vertical="center"/>
      <protection locked="0"/>
    </xf>
    <xf numFmtId="3" fontId="49" fillId="0" borderId="0" xfId="0" applyNumberFormat="1" applyFont="1" applyAlignment="1">
      <alignment horizontal="left" vertical="center"/>
    </xf>
    <xf numFmtId="0" fontId="49" fillId="0" borderId="0" xfId="0" applyFont="1" applyFill="1" applyBorder="1" applyProtection="1"/>
    <xf numFmtId="1" fontId="152" fillId="12" borderId="305" xfId="0" applyNumberFormat="1" applyFont="1" applyFill="1" applyBorder="1" applyAlignment="1" applyProtection="1">
      <alignment horizontal="centerContinuous" vertical="center" wrapText="1"/>
      <protection hidden="1"/>
    </xf>
    <xf numFmtId="1" fontId="152" fillId="12" borderId="306" xfId="0" applyNumberFormat="1" applyFont="1" applyFill="1" applyBorder="1" applyAlignment="1" applyProtection="1">
      <alignment horizontal="centerContinuous" vertical="center" wrapText="1"/>
      <protection hidden="1"/>
    </xf>
    <xf numFmtId="1" fontId="152" fillId="12" borderId="307" xfId="0" applyNumberFormat="1" applyFont="1" applyFill="1" applyBorder="1" applyAlignment="1" applyProtection="1">
      <alignment horizontal="centerContinuous" vertical="center" wrapText="1"/>
      <protection hidden="1"/>
    </xf>
    <xf numFmtId="0" fontId="119" fillId="0" borderId="0" xfId="0" applyFont="1"/>
    <xf numFmtId="174" fontId="35" fillId="0" borderId="270" xfId="0" applyNumberFormat="1" applyFont="1" applyFill="1" applyBorder="1" applyAlignment="1" applyProtection="1">
      <alignment horizontal="right" vertical="center"/>
    </xf>
    <xf numFmtId="0" fontId="35" fillId="0" borderId="0" xfId="0" applyNumberFormat="1" applyFont="1" applyFill="1" applyBorder="1" applyAlignment="1" applyProtection="1">
      <alignment horizontal="center" vertical="center"/>
    </xf>
    <xf numFmtId="0" fontId="74" fillId="0" borderId="0" xfId="0" applyFont="1" applyFill="1" applyBorder="1"/>
    <xf numFmtId="49" fontId="36" fillId="0" borderId="54" xfId="0" applyNumberFormat="1" applyFont="1" applyFill="1" applyBorder="1" applyAlignment="1">
      <alignment horizontal="right" vertical="center"/>
    </xf>
    <xf numFmtId="0" fontId="36" fillId="0" borderId="2" xfId="0" applyFont="1" applyFill="1" applyBorder="1"/>
    <xf numFmtId="8" fontId="37" fillId="8" borderId="0" xfId="0" applyNumberFormat="1" applyFont="1" applyFill="1" applyBorder="1" applyProtection="1"/>
    <xf numFmtId="3" fontId="37" fillId="8" borderId="0" xfId="0" applyNumberFormat="1" applyFont="1" applyFill="1" applyBorder="1" applyProtection="1">
      <protection hidden="1"/>
    </xf>
    <xf numFmtId="174" fontId="129" fillId="8" borderId="116" xfId="0" applyNumberFormat="1" applyFont="1" applyFill="1" applyBorder="1" applyAlignment="1" applyProtection="1">
      <alignment horizontal="right" vertical="center" wrapText="1"/>
    </xf>
    <xf numFmtId="177" fontId="148" fillId="8" borderId="116" xfId="0" applyNumberFormat="1" applyFont="1" applyFill="1" applyBorder="1" applyAlignment="1" applyProtection="1">
      <alignment horizontal="right" vertical="center" wrapText="1"/>
    </xf>
    <xf numFmtId="3" fontId="148" fillId="8" borderId="0" xfId="0" applyNumberFormat="1" applyFont="1" applyFill="1" applyBorder="1" applyProtection="1">
      <protection hidden="1"/>
    </xf>
    <xf numFmtId="3" fontId="8" fillId="0" borderId="0" xfId="0" applyNumberFormat="1" applyFont="1" applyAlignment="1">
      <alignment horizontal="center"/>
    </xf>
    <xf numFmtId="3" fontId="5" fillId="0" borderId="0" xfId="0" applyNumberFormat="1" applyFont="1" applyAlignment="1">
      <alignment horizontal="center"/>
    </xf>
    <xf numFmtId="3" fontId="153" fillId="0" borderId="0" xfId="0" applyNumberFormat="1" applyFont="1" applyAlignment="1">
      <alignment horizontal="center"/>
    </xf>
    <xf numFmtId="3" fontId="154" fillId="0" borderId="0" xfId="0" applyNumberFormat="1" applyFont="1" applyAlignment="1">
      <alignment horizontal="center"/>
    </xf>
    <xf numFmtId="3" fontId="155" fillId="5" borderId="0" xfId="0" applyNumberFormat="1" applyFont="1" applyFill="1" applyAlignment="1">
      <alignment horizontal="center"/>
    </xf>
    <xf numFmtId="9" fontId="8" fillId="0" borderId="0" xfId="5" applyFont="1"/>
    <xf numFmtId="0" fontId="36" fillId="8" borderId="0" xfId="0" applyFont="1" applyFill="1"/>
    <xf numFmtId="177" fontId="156" fillId="0" borderId="51" xfId="0" applyNumberFormat="1" applyFont="1" applyBorder="1"/>
    <xf numFmtId="177" fontId="156" fillId="0" borderId="119" xfId="0" applyNumberFormat="1" applyFont="1" applyBorder="1"/>
    <xf numFmtId="3" fontId="77" fillId="0" borderId="0" xfId="0" applyNumberFormat="1" applyFont="1" applyFill="1" applyBorder="1" applyAlignment="1" applyProtection="1">
      <alignment horizontal="left"/>
      <protection locked="0"/>
    </xf>
    <xf numFmtId="175" fontId="157" fillId="0" borderId="6" xfId="2" quotePrefix="1" applyNumberFormat="1" applyFont="1" applyBorder="1" applyAlignment="1" applyProtection="1">
      <alignment vertical="center"/>
    </xf>
    <xf numFmtId="175" fontId="157" fillId="0" borderId="48" xfId="2" quotePrefix="1" applyNumberFormat="1" applyFont="1" applyBorder="1" applyAlignment="1" applyProtection="1">
      <alignment vertical="center"/>
    </xf>
    <xf numFmtId="174" fontId="32" fillId="0" borderId="308" xfId="0" applyNumberFormat="1" applyFont="1" applyFill="1" applyBorder="1" applyAlignment="1" applyProtection="1">
      <alignment horizontal="center" vertical="center"/>
    </xf>
    <xf numFmtId="3" fontId="37" fillId="7" borderId="0" xfId="0" applyNumberFormat="1" applyFont="1" applyFill="1" applyBorder="1" applyAlignment="1" applyProtection="1">
      <alignment horizontal="center"/>
      <protection hidden="1"/>
    </xf>
    <xf numFmtId="166" fontId="35" fillId="12" borderId="161" xfId="0" applyNumberFormat="1" applyFont="1" applyFill="1" applyBorder="1" applyAlignment="1" applyProtection="1">
      <alignment vertical="center" wrapText="1"/>
      <protection locked="0"/>
    </xf>
    <xf numFmtId="0" fontId="35" fillId="12" borderId="160" xfId="0" applyNumberFormat="1" applyFont="1" applyFill="1" applyBorder="1" applyAlignment="1" applyProtection="1">
      <alignment horizontal="right" vertical="center"/>
      <protection locked="0"/>
    </xf>
    <xf numFmtId="177" fontId="35" fillId="12" borderId="230" xfId="0" applyNumberFormat="1" applyFont="1" applyFill="1" applyBorder="1" applyAlignment="1" applyProtection="1">
      <alignment vertical="center" wrapText="1"/>
      <protection locked="0"/>
    </xf>
    <xf numFmtId="0" fontId="35" fillId="9" borderId="35" xfId="0" applyNumberFormat="1" applyFont="1" applyFill="1" applyBorder="1" applyAlignment="1" applyProtection="1">
      <alignment vertical="center"/>
      <protection hidden="1"/>
    </xf>
    <xf numFmtId="3" fontId="35" fillId="9" borderId="35" xfId="0" applyNumberFormat="1" applyFont="1" applyFill="1" applyBorder="1" applyAlignment="1" applyProtection="1">
      <alignment vertical="center"/>
      <protection hidden="1"/>
    </xf>
    <xf numFmtId="3" fontId="35" fillId="9" borderId="43" xfId="0" applyNumberFormat="1" applyFont="1" applyFill="1" applyBorder="1" applyAlignment="1" applyProtection="1">
      <alignment vertical="center"/>
      <protection hidden="1"/>
    </xf>
    <xf numFmtId="0" fontId="35" fillId="9" borderId="23" xfId="0" applyNumberFormat="1" applyFont="1" applyFill="1" applyBorder="1" applyAlignment="1" applyProtection="1">
      <alignment horizontal="left" vertical="center"/>
    </xf>
    <xf numFmtId="0" fontId="35" fillId="9" borderId="35" xfId="0" applyNumberFormat="1" applyFont="1" applyFill="1" applyBorder="1" applyAlignment="1" applyProtection="1">
      <alignment horizontal="left" vertical="center"/>
      <protection hidden="1"/>
    </xf>
    <xf numFmtId="0" fontId="35" fillId="9" borderId="43" xfId="0" applyNumberFormat="1" applyFont="1" applyFill="1" applyBorder="1" applyAlignment="1" applyProtection="1">
      <alignment horizontal="left" vertical="center"/>
    </xf>
    <xf numFmtId="0" fontId="76" fillId="0" borderId="0" xfId="0" applyFont="1" applyBorder="1"/>
    <xf numFmtId="0" fontId="34" fillId="0" borderId="0" xfId="0" applyFont="1"/>
    <xf numFmtId="0" fontId="76" fillId="0" borderId="0" xfId="0" applyFont="1" applyFill="1" applyBorder="1" applyAlignment="1">
      <alignment horizontal="center"/>
    </xf>
    <xf numFmtId="0" fontId="37" fillId="0" borderId="89" xfId="0" applyFont="1" applyBorder="1"/>
    <xf numFmtId="0" fontId="37" fillId="0" borderId="266" xfId="0" applyFont="1" applyBorder="1"/>
    <xf numFmtId="0" fontId="37" fillId="0" borderId="264" xfId="0" applyFont="1" applyBorder="1"/>
    <xf numFmtId="177" fontId="37" fillId="0" borderId="132" xfId="0" applyNumberFormat="1" applyFont="1" applyBorder="1" applyAlignment="1">
      <alignment horizontal="right"/>
    </xf>
    <xf numFmtId="0" fontId="37" fillId="0" borderId="254" xfId="0" applyFont="1" applyBorder="1"/>
    <xf numFmtId="0" fontId="37" fillId="0" borderId="134" xfId="0" applyFont="1" applyBorder="1"/>
    <xf numFmtId="0" fontId="37" fillId="0" borderId="77" xfId="0" applyFont="1" applyBorder="1"/>
    <xf numFmtId="0" fontId="37" fillId="0" borderId="310" xfId="0" applyFont="1" applyBorder="1"/>
    <xf numFmtId="0" fontId="37" fillId="0" borderId="311" xfId="0" applyFont="1" applyBorder="1"/>
    <xf numFmtId="177" fontId="37" fillId="8" borderId="88" xfId="0" applyNumberFormat="1" applyFont="1" applyFill="1" applyBorder="1" applyAlignment="1">
      <alignment horizontal="right"/>
    </xf>
    <xf numFmtId="0" fontId="39" fillId="0" borderId="0" xfId="0" applyFont="1" applyFill="1" applyBorder="1" applyAlignment="1">
      <alignment horizontal="center" vertical="center"/>
    </xf>
    <xf numFmtId="165" fontId="33" fillId="0" borderId="0" xfId="3" applyFont="1" applyFill="1" applyBorder="1"/>
    <xf numFmtId="0" fontId="159" fillId="0" borderId="0" xfId="0" applyFont="1" applyFill="1" applyBorder="1" applyAlignment="1" applyProtection="1"/>
    <xf numFmtId="174" fontId="15" fillId="0" borderId="0" xfId="0" applyNumberFormat="1" applyFont="1" applyFill="1" applyBorder="1" applyAlignment="1"/>
    <xf numFmtId="0" fontId="160" fillId="0" borderId="0" xfId="0" applyFont="1" applyFill="1" applyBorder="1" applyAlignment="1"/>
    <xf numFmtId="3" fontId="116" fillId="0" borderId="0" xfId="0" applyNumberFormat="1" applyFont="1" applyFill="1" applyBorder="1" applyAlignment="1"/>
    <xf numFmtId="166" fontId="116" fillId="0" borderId="0" xfId="5" applyNumberFormat="1" applyFont="1" applyFill="1" applyBorder="1" applyAlignment="1" applyProtection="1">
      <alignment horizontal="center"/>
      <protection locked="0"/>
    </xf>
    <xf numFmtId="177" fontId="159" fillId="0" borderId="0" xfId="0" applyNumberFormat="1" applyFont="1" applyFill="1" applyBorder="1" applyAlignment="1"/>
    <xf numFmtId="0" fontId="160" fillId="0" borderId="0" xfId="0" applyFont="1" applyFill="1" applyBorder="1" applyAlignment="1">
      <alignment horizontal="center" vertical="center"/>
    </xf>
    <xf numFmtId="177" fontId="116" fillId="0" borderId="0" xfId="0" applyNumberFormat="1" applyFont="1" applyFill="1" applyBorder="1" applyAlignment="1"/>
    <xf numFmtId="0" fontId="76" fillId="0" borderId="117" xfId="0" applyFont="1" applyBorder="1"/>
    <xf numFmtId="0" fontId="34" fillId="0" borderId="116" xfId="0" applyFont="1" applyBorder="1"/>
    <xf numFmtId="177" fontId="37" fillId="0" borderId="44" xfId="0" applyNumberFormat="1" applyFont="1" applyFill="1" applyBorder="1" applyAlignment="1">
      <alignment horizontal="right"/>
    </xf>
    <xf numFmtId="9" fontId="37" fillId="0" borderId="312" xfId="0" applyNumberFormat="1" applyFont="1" applyFill="1" applyBorder="1"/>
    <xf numFmtId="0" fontId="37" fillId="0" borderId="134" xfId="0" applyFont="1" applyFill="1" applyBorder="1"/>
    <xf numFmtId="0" fontId="37" fillId="0" borderId="77" xfId="0" applyFont="1" applyFill="1" applyBorder="1"/>
    <xf numFmtId="0" fontId="37" fillId="0" borderId="310" xfId="0" applyFont="1" applyFill="1" applyBorder="1"/>
    <xf numFmtId="0" fontId="37" fillId="0" borderId="311" xfId="0" applyFont="1" applyFill="1" applyBorder="1"/>
    <xf numFmtId="0" fontId="33" fillId="0" borderId="0" xfId="0" applyFont="1" applyFill="1" applyBorder="1" applyAlignment="1" applyProtection="1">
      <alignment horizontal="center"/>
      <protection locked="0"/>
    </xf>
    <xf numFmtId="0" fontId="34" fillId="0" borderId="0" xfId="0" applyFont="1" applyFill="1" applyBorder="1"/>
    <xf numFmtId="0" fontId="34" fillId="0" borderId="0" xfId="0" applyFont="1" applyFill="1" applyBorder="1" applyAlignment="1">
      <alignment horizontal="center"/>
    </xf>
    <xf numFmtId="0" fontId="37" fillId="8" borderId="0" xfId="0" applyFont="1" applyFill="1"/>
    <xf numFmtId="49" fontId="37" fillId="8" borderId="0" xfId="0" applyNumberFormat="1" applyFont="1" applyFill="1" applyBorder="1" applyAlignment="1" applyProtection="1">
      <alignment horizontal="left"/>
    </xf>
    <xf numFmtId="8" fontId="43" fillId="8" borderId="0" xfId="0" applyNumberFormat="1" applyFont="1" applyFill="1" applyBorder="1" applyProtection="1"/>
    <xf numFmtId="168" fontId="162" fillId="3" borderId="84" xfId="0" applyNumberFormat="1" applyFont="1" applyFill="1" applyBorder="1" applyAlignment="1" applyProtection="1">
      <alignment horizontal="right" vertical="center"/>
      <protection locked="0"/>
    </xf>
    <xf numFmtId="8" fontId="8" fillId="9" borderId="26" xfId="0" applyNumberFormat="1" applyFont="1" applyFill="1" applyBorder="1" applyProtection="1">
      <protection hidden="1"/>
    </xf>
    <xf numFmtId="8" fontId="8" fillId="9" borderId="36" xfId="0" applyNumberFormat="1" applyFont="1" applyFill="1" applyBorder="1" applyProtection="1">
      <protection hidden="1"/>
    </xf>
    <xf numFmtId="8" fontId="8" fillId="8" borderId="32" xfId="0" applyNumberFormat="1" applyFont="1" applyFill="1" applyBorder="1" applyProtection="1">
      <protection hidden="1"/>
    </xf>
    <xf numFmtId="8" fontId="8" fillId="8" borderId="37" xfId="0" applyNumberFormat="1" applyFont="1" applyFill="1" applyBorder="1" applyProtection="1">
      <protection hidden="1"/>
    </xf>
    <xf numFmtId="174" fontId="36" fillId="8" borderId="227" xfId="0" applyNumberFormat="1" applyFont="1" applyFill="1" applyBorder="1" applyAlignment="1" applyProtection="1">
      <alignment vertical="center"/>
    </xf>
    <xf numFmtId="177" fontId="36" fillId="8" borderId="227" xfId="0" applyNumberFormat="1" applyFont="1" applyFill="1" applyBorder="1" applyAlignment="1" applyProtection="1">
      <alignment vertical="center"/>
    </xf>
    <xf numFmtId="0" fontId="0" fillId="0" borderId="0" xfId="0" applyAlignment="1">
      <alignment wrapText="1"/>
    </xf>
    <xf numFmtId="174" fontId="35" fillId="8" borderId="159" xfId="0" applyNumberFormat="1" applyFont="1" applyFill="1" applyBorder="1" applyAlignment="1" applyProtection="1">
      <alignment horizontal="right" vertical="center"/>
    </xf>
    <xf numFmtId="0" fontId="35" fillId="9" borderId="53" xfId="0" applyNumberFormat="1" applyFont="1" applyFill="1" applyBorder="1" applyAlignment="1" applyProtection="1">
      <alignment horizontal="left" vertical="center"/>
      <protection hidden="1"/>
    </xf>
    <xf numFmtId="168" fontId="162" fillId="3" borderId="26" xfId="0" applyNumberFormat="1" applyFont="1" applyFill="1" applyBorder="1" applyAlignment="1" applyProtection="1">
      <alignment horizontal="right" vertical="center"/>
      <protection locked="0"/>
    </xf>
    <xf numFmtId="177" fontId="35" fillId="7" borderId="159" xfId="0" applyNumberFormat="1" applyFont="1" applyFill="1" applyBorder="1" applyAlignment="1" applyProtection="1">
      <alignment vertical="center" wrapText="1"/>
    </xf>
    <xf numFmtId="0" fontId="163" fillId="8" borderId="12" xfId="0" applyFont="1" applyFill="1" applyBorder="1" applyProtection="1"/>
    <xf numFmtId="3" fontId="163" fillId="8" borderId="2" xfId="0" applyNumberFormat="1" applyFont="1" applyFill="1" applyBorder="1"/>
    <xf numFmtId="174" fontId="36" fillId="8" borderId="227" xfId="0" applyNumberFormat="1" applyFont="1" applyFill="1" applyBorder="1" applyAlignment="1" applyProtection="1">
      <alignment vertical="center"/>
      <protection hidden="1"/>
    </xf>
    <xf numFmtId="177" fontId="163" fillId="0" borderId="230" xfId="0" applyNumberFormat="1" applyFont="1" applyFill="1" applyBorder="1" applyAlignment="1" applyProtection="1">
      <alignment horizontal="center"/>
    </xf>
    <xf numFmtId="0" fontId="163" fillId="9" borderId="86" xfId="0" applyFont="1" applyFill="1" applyBorder="1" applyAlignment="1" applyProtection="1">
      <alignment horizontal="left" vertical="center" indent="1"/>
    </xf>
    <xf numFmtId="174" fontId="163" fillId="9" borderId="87" xfId="0" applyNumberFormat="1" applyFont="1" applyFill="1" applyBorder="1" applyAlignment="1" applyProtection="1">
      <alignment vertical="center"/>
    </xf>
    <xf numFmtId="174" fontId="36" fillId="4" borderId="172" xfId="0" applyNumberFormat="1" applyFont="1" applyFill="1" applyBorder="1" applyProtection="1">
      <protection locked="0"/>
    </xf>
    <xf numFmtId="174" fontId="36" fillId="4" borderId="103" xfId="0" applyNumberFormat="1" applyFont="1" applyFill="1" applyBorder="1" applyProtection="1">
      <protection locked="0"/>
    </xf>
    <xf numFmtId="174" fontId="36" fillId="4" borderId="191" xfId="0" applyNumberFormat="1" applyFont="1" applyFill="1" applyBorder="1" applyProtection="1">
      <protection locked="0"/>
    </xf>
    <xf numFmtId="166" fontId="67" fillId="3" borderId="105" xfId="0" applyNumberFormat="1" applyFont="1" applyFill="1" applyBorder="1"/>
    <xf numFmtId="0" fontId="81" fillId="0" borderId="0" xfId="0" applyFont="1" applyBorder="1"/>
    <xf numFmtId="0" fontId="165" fillId="0" borderId="0" xfId="0" applyFont="1" applyBorder="1"/>
    <xf numFmtId="9" fontId="165" fillId="0" borderId="0" xfId="0" applyNumberFormat="1" applyFont="1" applyBorder="1"/>
    <xf numFmtId="0" fontId="81" fillId="0" borderId="319" xfId="0" applyFont="1" applyBorder="1"/>
    <xf numFmtId="0" fontId="81" fillId="0" borderId="320" xfId="0" applyFont="1" applyBorder="1"/>
    <xf numFmtId="0" fontId="82" fillId="4" borderId="321" xfId="0" applyFont="1" applyFill="1" applyBorder="1"/>
    <xf numFmtId="0" fontId="84" fillId="4" borderId="286" xfId="0" applyFont="1" applyFill="1" applyBorder="1"/>
    <xf numFmtId="0" fontId="87" fillId="0" borderId="322" xfId="0" applyFont="1" applyBorder="1" applyAlignment="1">
      <alignment wrapText="1"/>
    </xf>
    <xf numFmtId="9" fontId="81" fillId="0" borderId="322" xfId="0" applyNumberFormat="1" applyFont="1" applyBorder="1" applyAlignment="1">
      <alignment wrapText="1"/>
    </xf>
    <xf numFmtId="0" fontId="81" fillId="0" borderId="322" xfId="0" applyFont="1" applyBorder="1"/>
    <xf numFmtId="0" fontId="82" fillId="8" borderId="321" xfId="0" applyFont="1" applyFill="1" applyBorder="1" applyAlignment="1">
      <alignment vertical="center" wrapText="1"/>
    </xf>
    <xf numFmtId="182" fontId="84" fillId="8" borderId="325" xfId="0" applyNumberFormat="1" applyFont="1" applyFill="1" applyBorder="1" applyAlignment="1">
      <alignment horizontal="center" vertical="center" wrapText="1"/>
    </xf>
    <xf numFmtId="9" fontId="168" fillId="8" borderId="321" xfId="0" applyNumberFormat="1" applyFont="1" applyFill="1" applyBorder="1" applyAlignment="1">
      <alignment horizontal="center" vertical="center" wrapText="1"/>
    </xf>
    <xf numFmtId="0" fontId="80" fillId="12" borderId="286" xfId="0" applyFont="1" applyFill="1" applyBorder="1"/>
    <xf numFmtId="0" fontId="81" fillId="13" borderId="321" xfId="0" applyFont="1" applyFill="1" applyBorder="1" applyAlignment="1"/>
    <xf numFmtId="0" fontId="81" fillId="13" borderId="320" xfId="0" applyFont="1" applyFill="1" applyBorder="1" applyAlignment="1"/>
    <xf numFmtId="1" fontId="169" fillId="0" borderId="0" xfId="0" applyNumberFormat="1" applyFont="1" applyProtection="1">
      <protection hidden="1"/>
    </xf>
    <xf numFmtId="0" fontId="8" fillId="8" borderId="0" xfId="0" applyFont="1" applyFill="1" applyAlignment="1" applyProtection="1">
      <alignment vertical="center"/>
      <protection hidden="1"/>
    </xf>
    <xf numFmtId="4" fontId="37" fillId="0" borderId="0" xfId="0" applyNumberFormat="1" applyFont="1" applyBorder="1"/>
    <xf numFmtId="166" fontId="170" fillId="8" borderId="70" xfId="0" applyNumberFormat="1" applyFont="1" applyFill="1" applyBorder="1"/>
    <xf numFmtId="166" fontId="163" fillId="0" borderId="44" xfId="0" applyNumberFormat="1" applyFont="1" applyBorder="1"/>
    <xf numFmtId="166" fontId="163" fillId="0" borderId="39" xfId="0" applyNumberFormat="1" applyFont="1" applyBorder="1"/>
    <xf numFmtId="3" fontId="43" fillId="8" borderId="0" xfId="0" applyNumberFormat="1" applyFont="1" applyFill="1" applyBorder="1" applyProtection="1">
      <protection hidden="1"/>
    </xf>
    <xf numFmtId="3" fontId="171" fillId="0" borderId="2" xfId="0" applyNumberFormat="1" applyFont="1" applyFill="1" applyBorder="1" applyAlignment="1" applyProtection="1">
      <alignment vertical="center"/>
      <protection locked="0"/>
    </xf>
    <xf numFmtId="3" fontId="133" fillId="12" borderId="0" xfId="0" applyNumberFormat="1" applyFont="1" applyFill="1" applyBorder="1" applyAlignment="1" applyProtection="1">
      <alignment horizontal="center"/>
    </xf>
    <xf numFmtId="3" fontId="133" fillId="12" borderId="0" xfId="0" applyNumberFormat="1" applyFont="1" applyFill="1" applyBorder="1" applyAlignment="1">
      <alignment horizontal="center" vertical="center" wrapText="1"/>
    </xf>
    <xf numFmtId="177" fontId="133" fillId="0" borderId="0" xfId="0" applyNumberFormat="1" applyFont="1" applyBorder="1" applyAlignment="1" applyProtection="1">
      <alignment horizontal="right" vertical="center"/>
    </xf>
    <xf numFmtId="3" fontId="35" fillId="0" borderId="0" xfId="0" applyNumberFormat="1" applyFont="1" applyFill="1" applyBorder="1" applyAlignment="1">
      <alignment horizontal="center" vertical="center" wrapText="1"/>
    </xf>
    <xf numFmtId="3" fontId="35" fillId="8" borderId="0" xfId="0" applyNumberFormat="1" applyFont="1" applyFill="1" applyBorder="1"/>
    <xf numFmtId="0" fontId="39" fillId="8" borderId="0" xfId="0" applyFont="1" applyFill="1"/>
    <xf numFmtId="177" fontId="149" fillId="0" borderId="46" xfId="0" applyNumberFormat="1" applyFont="1" applyFill="1" applyBorder="1" applyAlignment="1" applyProtection="1">
      <alignment horizontal="left"/>
    </xf>
    <xf numFmtId="0" fontId="163" fillId="4" borderId="11" xfId="0" applyFont="1" applyFill="1" applyBorder="1" applyProtection="1"/>
    <xf numFmtId="0" fontId="163" fillId="4" borderId="14" xfId="0" applyFont="1" applyFill="1" applyBorder="1" applyProtection="1"/>
    <xf numFmtId="0" fontId="163" fillId="4" borderId="12" xfId="0" applyFont="1" applyFill="1" applyBorder="1" applyAlignment="1" applyProtection="1">
      <alignment horizontal="left" vertical="center" indent="1"/>
    </xf>
    <xf numFmtId="3" fontId="163" fillId="4" borderId="11" xfId="0" applyNumberFormat="1" applyFont="1" applyFill="1" applyBorder="1" applyAlignment="1" applyProtection="1">
      <alignment horizontal="left" vertical="center" indent="1"/>
    </xf>
    <xf numFmtId="0" fontId="163" fillId="4" borderId="11" xfId="0" applyFont="1" applyFill="1" applyBorder="1" applyAlignment="1" applyProtection="1">
      <alignment horizontal="left" vertical="center" indent="1"/>
    </xf>
    <xf numFmtId="3" fontId="173" fillId="4" borderId="11" xfId="0" applyNumberFormat="1" applyFont="1" applyFill="1" applyBorder="1" applyAlignment="1" applyProtection="1">
      <alignment horizontal="left" vertical="center" indent="3"/>
    </xf>
    <xf numFmtId="177" fontId="174" fillId="0" borderId="230" xfId="0" applyNumberFormat="1" applyFont="1" applyFill="1" applyBorder="1" applyAlignment="1" applyProtection="1">
      <alignment horizontal="center"/>
    </xf>
    <xf numFmtId="177" fontId="36" fillId="4" borderId="81" xfId="0" applyNumberFormat="1" applyFont="1" applyFill="1" applyBorder="1" applyProtection="1"/>
    <xf numFmtId="0" fontId="37" fillId="8" borderId="0" xfId="0" applyFont="1" applyFill="1"/>
    <xf numFmtId="3" fontId="35" fillId="0" borderId="11" xfId="0" applyNumberFormat="1" applyFont="1" applyFill="1" applyBorder="1" applyAlignment="1">
      <alignment horizontal="center" vertical="center" wrapText="1"/>
    </xf>
    <xf numFmtId="177" fontId="36" fillId="0" borderId="11" xfId="0" applyNumberFormat="1" applyFont="1" applyFill="1" applyBorder="1" applyAlignment="1">
      <alignment horizontal="right" vertical="center"/>
    </xf>
    <xf numFmtId="177" fontId="32" fillId="0" borderId="11" xfId="0" applyNumberFormat="1" applyFont="1" applyFill="1" applyBorder="1" applyAlignment="1" applyProtection="1">
      <alignment horizontal="right" vertical="center"/>
    </xf>
    <xf numFmtId="177" fontId="32" fillId="0" borderId="11" xfId="0" applyNumberFormat="1" applyFont="1" applyBorder="1" applyAlignment="1" applyProtection="1">
      <alignment horizontal="right" vertical="center"/>
    </xf>
    <xf numFmtId="0" fontId="178" fillId="0" borderId="0" xfId="0" applyFont="1" applyAlignment="1">
      <alignment horizontal="left" vertical="center" wrapText="1"/>
    </xf>
    <xf numFmtId="0" fontId="131" fillId="0" borderId="0" xfId="0" applyFont="1" applyAlignment="1">
      <alignment horizontal="left" vertical="center" wrapText="1"/>
    </xf>
    <xf numFmtId="0" fontId="179" fillId="0" borderId="0" xfId="0" applyFont="1" applyAlignment="1">
      <alignment horizontal="left" vertical="center"/>
    </xf>
    <xf numFmtId="0" fontId="131" fillId="0" borderId="0" xfId="0" applyFont="1"/>
    <xf numFmtId="0" fontId="131" fillId="0" borderId="0" xfId="0" applyFont="1" applyAlignment="1">
      <alignment horizontal="left" vertical="center"/>
    </xf>
    <xf numFmtId="0" fontId="180" fillId="0" borderId="0" xfId="0" applyFont="1" applyFill="1" applyBorder="1" applyAlignment="1" applyProtection="1">
      <alignment vertical="justify" wrapText="1"/>
    </xf>
    <xf numFmtId="3" fontId="32" fillId="0" borderId="0" xfId="0" applyNumberFormat="1" applyFont="1" applyFill="1" applyBorder="1" applyAlignment="1">
      <alignment horizontal="center" wrapText="1"/>
    </xf>
    <xf numFmtId="0" fontId="37" fillId="0" borderId="0" xfId="0" applyFont="1" applyFill="1" applyBorder="1" applyAlignment="1">
      <alignment horizontal="center" wrapText="1"/>
    </xf>
    <xf numFmtId="9" fontId="8" fillId="0" borderId="0" xfId="0" applyNumberFormat="1" applyFont="1"/>
    <xf numFmtId="0" fontId="0" fillId="0" borderId="0" xfId="0" applyFill="1"/>
    <xf numFmtId="0" fontId="180" fillId="8" borderId="0" xfId="0" applyFont="1" applyFill="1" applyBorder="1" applyAlignment="1" applyProtection="1">
      <alignment vertical="justify" wrapText="1"/>
    </xf>
    <xf numFmtId="8" fontId="47" fillId="0" borderId="0" xfId="0" applyNumberFormat="1" applyFont="1" applyFill="1" applyBorder="1" applyProtection="1"/>
    <xf numFmtId="174" fontId="36" fillId="0" borderId="27" xfId="0" applyNumberFormat="1" applyFont="1" applyFill="1" applyBorder="1" applyAlignment="1" applyProtection="1">
      <alignment horizontal="right"/>
    </xf>
    <xf numFmtId="174" fontId="36" fillId="0" borderId="32" xfId="5" applyNumberFormat="1" applyFont="1" applyFill="1" applyBorder="1" applyAlignment="1" applyProtection="1">
      <alignment horizontal="right"/>
      <protection hidden="1"/>
    </xf>
    <xf numFmtId="0" fontId="8" fillId="7" borderId="0" xfId="0" applyFont="1" applyFill="1" applyAlignment="1" applyProtection="1">
      <alignment vertical="center"/>
      <protection hidden="1"/>
    </xf>
    <xf numFmtId="0" fontId="8" fillId="7" borderId="0" xfId="0" applyFont="1" applyFill="1" applyProtection="1">
      <protection hidden="1"/>
    </xf>
    <xf numFmtId="0" fontId="143" fillId="0" borderId="0" xfId="0" applyFont="1" applyFill="1" applyBorder="1" applyAlignment="1">
      <alignment horizontal="center" vertical="center" wrapText="1"/>
    </xf>
    <xf numFmtId="0" fontId="144" fillId="0" borderId="0" xfId="0" applyFont="1" applyFill="1" applyBorder="1" applyAlignment="1">
      <alignment horizontal="center" vertical="center"/>
    </xf>
    <xf numFmtId="10" fontId="145" fillId="0" borderId="0" xfId="5" applyNumberFormat="1" applyFont="1" applyFill="1" applyBorder="1" applyAlignment="1">
      <alignment horizontal="center" vertical="center" wrapText="1"/>
    </xf>
    <xf numFmtId="0" fontId="146" fillId="0" borderId="0" xfId="0" applyFont="1" applyFill="1" applyBorder="1" applyAlignment="1">
      <alignment vertical="center" wrapText="1"/>
    </xf>
    <xf numFmtId="0" fontId="146" fillId="0" borderId="0" xfId="0" applyFont="1" applyFill="1" applyBorder="1"/>
    <xf numFmtId="166" fontId="147" fillId="0" borderId="0" xfId="0" applyNumberFormat="1" applyFont="1" applyFill="1" applyBorder="1" applyAlignment="1">
      <alignment horizontal="center" vertical="center"/>
    </xf>
    <xf numFmtId="182" fontId="145" fillId="0" borderId="0" xfId="5" applyNumberFormat="1" applyFont="1" applyFill="1" applyBorder="1" applyAlignment="1">
      <alignment horizontal="center" vertical="center"/>
    </xf>
    <xf numFmtId="0" fontId="17" fillId="0" borderId="0" xfId="0" applyFont="1" applyProtection="1">
      <protection hidden="1"/>
    </xf>
    <xf numFmtId="0" fontId="17" fillId="8" borderId="0" xfId="0" applyFont="1" applyFill="1" applyProtection="1">
      <protection hidden="1"/>
    </xf>
    <xf numFmtId="3" fontId="73" fillId="0" borderId="0" xfId="0" applyNumberFormat="1" applyFont="1" applyFill="1" applyBorder="1" applyAlignment="1" applyProtection="1">
      <alignment horizontal="center" vertical="center"/>
      <protection hidden="1"/>
    </xf>
    <xf numFmtId="1" fontId="73" fillId="0" borderId="0" xfId="0" applyNumberFormat="1" applyFont="1" applyFill="1" applyBorder="1" applyAlignment="1" applyProtection="1">
      <alignment horizontal="center" vertical="center"/>
      <protection hidden="1"/>
    </xf>
    <xf numFmtId="3" fontId="73" fillId="0" borderId="0" xfId="0" applyNumberFormat="1" applyFont="1" applyFill="1" applyBorder="1" applyAlignment="1" applyProtection="1">
      <alignment vertical="center"/>
      <protection hidden="1"/>
    </xf>
    <xf numFmtId="169" fontId="17" fillId="0" borderId="0" xfId="5" applyNumberFormat="1" applyFont="1" applyFill="1" applyBorder="1" applyAlignment="1" applyProtection="1">
      <alignment horizontal="center" vertical="center"/>
      <protection hidden="1"/>
    </xf>
    <xf numFmtId="2" fontId="181" fillId="0" borderId="305" xfId="0" applyNumberFormat="1" applyFont="1" applyFill="1" applyBorder="1" applyAlignment="1" applyProtection="1">
      <alignment horizontal="center" vertical="center"/>
      <protection hidden="1"/>
    </xf>
    <xf numFmtId="2" fontId="182" fillId="0" borderId="0" xfId="0" applyNumberFormat="1" applyFont="1" applyFill="1" applyBorder="1" applyAlignment="1" applyProtection="1">
      <alignment horizontal="center" vertical="center"/>
      <protection hidden="1"/>
    </xf>
    <xf numFmtId="10" fontId="181" fillId="0" borderId="341" xfId="5" applyNumberFormat="1" applyFont="1" applyFill="1" applyBorder="1" applyAlignment="1" applyProtection="1">
      <alignment horizontal="center" vertical="center"/>
      <protection hidden="1"/>
    </xf>
    <xf numFmtId="4" fontId="181" fillId="0" borderId="0" xfId="5" applyNumberFormat="1" applyFont="1" applyFill="1" applyBorder="1" applyAlignment="1" applyProtection="1">
      <alignment horizontal="center" vertical="center"/>
      <protection hidden="1"/>
    </xf>
    <xf numFmtId="0" fontId="181" fillId="0" borderId="0" xfId="0" applyFont="1" applyAlignment="1" applyProtection="1">
      <alignment vertical="center"/>
      <protection hidden="1"/>
    </xf>
    <xf numFmtId="170" fontId="181" fillId="0" borderId="306" xfId="0" applyNumberFormat="1" applyFont="1" applyFill="1" applyBorder="1" applyAlignment="1" applyProtection="1">
      <alignment horizontal="center" vertical="center"/>
      <protection hidden="1"/>
    </xf>
    <xf numFmtId="170" fontId="181" fillId="0" borderId="342" xfId="0" applyNumberFormat="1" applyFont="1" applyFill="1" applyBorder="1" applyAlignment="1" applyProtection="1">
      <alignment horizontal="center" vertical="center"/>
      <protection hidden="1"/>
    </xf>
    <xf numFmtId="170" fontId="181" fillId="0" borderId="343" xfId="0" applyNumberFormat="1" applyFont="1" applyFill="1" applyBorder="1" applyAlignment="1" applyProtection="1">
      <alignment horizontal="center" vertical="center"/>
      <protection hidden="1"/>
    </xf>
    <xf numFmtId="170" fontId="181" fillId="0" borderId="344" xfId="0" applyNumberFormat="1" applyFont="1" applyFill="1" applyBorder="1" applyAlignment="1" applyProtection="1">
      <alignment horizontal="center" vertical="center"/>
      <protection hidden="1"/>
    </xf>
    <xf numFmtId="170" fontId="181" fillId="0" borderId="345" xfId="0" applyNumberFormat="1" applyFont="1" applyFill="1" applyBorder="1" applyAlignment="1" applyProtection="1">
      <alignment horizontal="center" vertical="center"/>
      <protection hidden="1"/>
    </xf>
    <xf numFmtId="170" fontId="181" fillId="0" borderId="346" xfId="0" applyNumberFormat="1" applyFont="1" applyFill="1" applyBorder="1" applyAlignment="1" applyProtection="1">
      <alignment horizontal="center" vertical="center"/>
      <protection hidden="1"/>
    </xf>
    <xf numFmtId="0" fontId="17" fillId="0" borderId="0" xfId="0" applyFont="1" applyAlignment="1" applyProtection="1">
      <alignment vertical="center"/>
      <protection hidden="1"/>
    </xf>
    <xf numFmtId="0" fontId="17" fillId="0" borderId="0" xfId="0" applyFont="1" applyFill="1" applyAlignment="1" applyProtection="1">
      <alignment vertical="center"/>
      <protection hidden="1"/>
    </xf>
    <xf numFmtId="3" fontId="4" fillId="0" borderId="218" xfId="0" applyNumberFormat="1" applyFont="1" applyFill="1" applyBorder="1" applyAlignment="1" applyProtection="1">
      <alignment vertical="center" wrapText="1"/>
      <protection hidden="1"/>
    </xf>
    <xf numFmtId="3" fontId="4" fillId="0" borderId="80" xfId="0" applyNumberFormat="1" applyFont="1" applyBorder="1" applyAlignment="1" applyProtection="1">
      <alignment vertical="center" wrapText="1"/>
      <protection hidden="1"/>
    </xf>
    <xf numFmtId="3" fontId="4" fillId="0" borderId="216" xfId="0" applyNumberFormat="1" applyFont="1" applyBorder="1" applyAlignment="1" applyProtection="1">
      <alignment vertical="center" wrapText="1"/>
      <protection hidden="1"/>
    </xf>
    <xf numFmtId="3" fontId="4" fillId="0" borderId="80" xfId="0" applyNumberFormat="1" applyFont="1" applyBorder="1" applyAlignment="1" applyProtection="1">
      <alignment horizontal="left" vertical="center" wrapText="1"/>
      <protection hidden="1"/>
    </xf>
    <xf numFmtId="3" fontId="4" fillId="0" borderId="347" xfId="0" applyNumberFormat="1" applyFont="1" applyBorder="1" applyAlignment="1" applyProtection="1">
      <alignment vertical="center" wrapText="1"/>
      <protection hidden="1"/>
    </xf>
    <xf numFmtId="3" fontId="4" fillId="0" borderId="347" xfId="0" applyNumberFormat="1" applyFont="1" applyBorder="1" applyAlignment="1" applyProtection="1">
      <alignment horizontal="left" vertical="center" wrapText="1"/>
      <protection hidden="1"/>
    </xf>
    <xf numFmtId="3" fontId="4" fillId="0" borderId="216" xfId="0" applyNumberFormat="1" applyFont="1" applyBorder="1" applyAlignment="1" applyProtection="1">
      <alignment horizontal="left" vertical="center" wrapText="1"/>
      <protection hidden="1"/>
    </xf>
    <xf numFmtId="3" fontId="4" fillId="0" borderId="347" xfId="0" applyNumberFormat="1" applyFont="1" applyFill="1" applyBorder="1" applyAlignment="1" applyProtection="1">
      <alignment vertical="center" wrapText="1"/>
      <protection hidden="1"/>
    </xf>
    <xf numFmtId="3" fontId="4" fillId="0" borderId="58" xfId="0" applyNumberFormat="1" applyFont="1" applyBorder="1" applyAlignment="1" applyProtection="1">
      <alignment vertical="center" wrapText="1"/>
      <protection hidden="1"/>
    </xf>
    <xf numFmtId="3" fontId="4" fillId="0" borderId="58" xfId="0" applyNumberFormat="1" applyFont="1" applyBorder="1" applyAlignment="1" applyProtection="1">
      <alignment horizontal="left" vertical="center" wrapText="1"/>
      <protection hidden="1"/>
    </xf>
    <xf numFmtId="3" fontId="4" fillId="0" borderId="5" xfId="0" applyNumberFormat="1" applyFont="1" applyFill="1" applyBorder="1" applyAlignment="1" applyProtection="1">
      <alignment horizontal="left" vertical="center" wrapText="1"/>
      <protection hidden="1"/>
    </xf>
    <xf numFmtId="3" fontId="4" fillId="0" borderId="218" xfId="0" applyNumberFormat="1" applyFont="1" applyFill="1" applyBorder="1" applyAlignment="1" applyProtection="1">
      <alignment horizontal="left" vertical="center" wrapText="1"/>
      <protection hidden="1"/>
    </xf>
    <xf numFmtId="3" fontId="0" fillId="0" borderId="283" xfId="0" applyNumberFormat="1" applyFont="1" applyFill="1" applyBorder="1" applyAlignment="1" applyProtection="1">
      <alignment horizontal="center" vertical="center" wrapText="1"/>
      <protection hidden="1"/>
    </xf>
    <xf numFmtId="0" fontId="4" fillId="0" borderId="90" xfId="0" applyFont="1" applyBorder="1" applyAlignment="1" applyProtection="1">
      <alignment horizontal="left" vertical="center" wrapText="1"/>
      <protection hidden="1"/>
    </xf>
    <xf numFmtId="166" fontId="165" fillId="0" borderId="0" xfId="0" applyNumberFormat="1" applyFont="1" applyBorder="1"/>
    <xf numFmtId="0" fontId="184" fillId="0" borderId="0" xfId="0" applyFont="1" applyFill="1" applyBorder="1" applyAlignment="1" applyProtection="1">
      <alignment horizontal="right" vertical="center" wrapText="1"/>
    </xf>
    <xf numFmtId="3" fontId="186" fillId="0" borderId="11" xfId="0" applyNumberFormat="1" applyFont="1" applyFill="1" applyBorder="1" applyProtection="1"/>
    <xf numFmtId="0" fontId="8" fillId="8" borderId="0" xfId="0" applyFont="1" applyFill="1" applyProtection="1">
      <protection hidden="1"/>
    </xf>
    <xf numFmtId="0" fontId="187" fillId="0" borderId="0" xfId="0" applyFont="1" applyFill="1" applyAlignment="1" applyProtection="1">
      <alignment vertical="center"/>
      <protection hidden="1"/>
    </xf>
    <xf numFmtId="0" fontId="178" fillId="0" borderId="0" xfId="0" applyFont="1" applyAlignment="1">
      <alignment horizontal="right" vertical="center" wrapText="1"/>
    </xf>
    <xf numFmtId="0" fontId="36" fillId="0" borderId="74" xfId="0" applyFont="1" applyBorder="1" applyAlignment="1">
      <alignment horizontal="right"/>
    </xf>
    <xf numFmtId="0" fontId="43" fillId="0" borderId="89" xfId="0" applyFont="1" applyFill="1" applyBorder="1"/>
    <xf numFmtId="0" fontId="43" fillId="0" borderId="74" xfId="0" applyFont="1" applyFill="1" applyBorder="1"/>
    <xf numFmtId="166" fontId="43" fillId="0" borderId="75" xfId="0" applyNumberFormat="1" applyFont="1" applyFill="1" applyBorder="1"/>
    <xf numFmtId="0" fontId="36" fillId="0" borderId="89" xfId="0" applyFont="1" applyFill="1" applyBorder="1"/>
    <xf numFmtId="3" fontId="32" fillId="0" borderId="260" xfId="0" applyNumberFormat="1" applyFont="1" applyBorder="1" applyAlignment="1">
      <alignment horizontal="right" vertical="center"/>
    </xf>
    <xf numFmtId="174" fontId="32" fillId="0" borderId="261" xfId="0" applyNumberFormat="1" applyFont="1" applyFill="1" applyBorder="1" applyAlignment="1">
      <alignment horizontal="right" vertical="center"/>
    </xf>
    <xf numFmtId="166" fontId="32" fillId="0" borderId="262" xfId="5" applyNumberFormat="1" applyFont="1" applyBorder="1" applyAlignment="1">
      <alignment horizontal="right" vertical="center"/>
    </xf>
    <xf numFmtId="174" fontId="32" fillId="0" borderId="261" xfId="0" applyNumberFormat="1" applyFont="1" applyBorder="1" applyAlignment="1">
      <alignment horizontal="right" vertical="center"/>
    </xf>
    <xf numFmtId="166" fontId="32" fillId="0" borderId="263" xfId="5" applyNumberFormat="1" applyFont="1" applyBorder="1" applyAlignment="1">
      <alignment horizontal="right" vertical="center"/>
    </xf>
    <xf numFmtId="166" fontId="32" fillId="0" borderId="262" xfId="0" applyNumberFormat="1" applyFont="1" applyFill="1" applyBorder="1" applyAlignment="1">
      <alignment horizontal="right" vertical="center"/>
    </xf>
    <xf numFmtId="3" fontId="90" fillId="0" borderId="54" xfId="0" applyNumberFormat="1" applyFont="1" applyBorder="1" applyAlignment="1">
      <alignment horizontal="right" vertical="center"/>
    </xf>
    <xf numFmtId="177" fontId="36" fillId="0" borderId="227" xfId="0" applyNumberFormat="1" applyFont="1" applyFill="1" applyBorder="1" applyAlignment="1" applyProtection="1">
      <alignment vertical="center"/>
    </xf>
    <xf numFmtId="177" fontId="36" fillId="0" borderId="227" xfId="0" applyNumberFormat="1" applyFont="1" applyFill="1" applyBorder="1" applyAlignment="1" applyProtection="1">
      <alignment vertical="center"/>
      <protection hidden="1"/>
    </xf>
    <xf numFmtId="177" fontId="36" fillId="0" borderId="227" xfId="0" applyNumberFormat="1" applyFont="1" applyBorder="1" applyAlignment="1" applyProtection="1">
      <alignment vertical="center"/>
    </xf>
    <xf numFmtId="174" fontId="32" fillId="0" borderId="0" xfId="0" applyNumberFormat="1" applyFont="1" applyFill="1" applyBorder="1" applyAlignment="1" applyProtection="1">
      <alignment horizontal="right"/>
    </xf>
    <xf numFmtId="174" fontId="32" fillId="0" borderId="19" xfId="0" applyNumberFormat="1" applyFont="1" applyFill="1" applyBorder="1" applyAlignment="1" applyProtection="1">
      <alignment horizontal="right"/>
    </xf>
    <xf numFmtId="8" fontId="32" fillId="0" borderId="19" xfId="0" applyNumberFormat="1" applyFont="1" applyFill="1" applyBorder="1" applyAlignment="1" applyProtection="1">
      <alignment horizontal="right"/>
    </xf>
    <xf numFmtId="8" fontId="32" fillId="0" borderId="0" xfId="0" applyNumberFormat="1" applyFont="1" applyFill="1" applyBorder="1" applyAlignment="1" applyProtection="1">
      <alignment horizontal="right"/>
    </xf>
    <xf numFmtId="0" fontId="177" fillId="0" borderId="230" xfId="0" applyFont="1" applyFill="1" applyBorder="1" applyProtection="1"/>
    <xf numFmtId="0" fontId="156" fillId="0" borderId="53" xfId="0" applyFont="1" applyFill="1" applyBorder="1" applyProtection="1"/>
    <xf numFmtId="177" fontId="36" fillId="8" borderId="55" xfId="0" applyNumberFormat="1" applyFont="1" applyFill="1" applyBorder="1" applyAlignment="1" applyProtection="1">
      <alignment horizontal="center"/>
    </xf>
    <xf numFmtId="10" fontId="16" fillId="0" borderId="57" xfId="5" applyNumberFormat="1" applyFont="1" applyFill="1" applyBorder="1" applyAlignment="1" applyProtection="1">
      <alignment horizontal="center" vertical="center"/>
      <protection hidden="1"/>
    </xf>
    <xf numFmtId="10" fontId="181" fillId="0" borderId="351" xfId="5" applyNumberFormat="1" applyFont="1" applyFill="1" applyBorder="1" applyAlignment="1" applyProtection="1">
      <alignment horizontal="center" vertical="center"/>
      <protection hidden="1"/>
    </xf>
    <xf numFmtId="169" fontId="181" fillId="0" borderId="352" xfId="5" applyNumberFormat="1" applyFont="1" applyFill="1" applyBorder="1" applyAlignment="1" applyProtection="1">
      <alignment horizontal="center" vertical="center"/>
      <protection hidden="1"/>
    </xf>
    <xf numFmtId="3" fontId="4" fillId="0" borderId="58" xfId="0" applyNumberFormat="1" applyFont="1" applyFill="1" applyBorder="1" applyAlignment="1" applyProtection="1">
      <alignment vertical="center" wrapText="1"/>
      <protection hidden="1"/>
    </xf>
    <xf numFmtId="4" fontId="16" fillId="0" borderId="69" xfId="5" applyNumberFormat="1" applyFont="1" applyFill="1" applyBorder="1" applyAlignment="1" applyProtection="1">
      <alignment horizontal="center" vertical="center"/>
      <protection hidden="1"/>
    </xf>
    <xf numFmtId="3" fontId="15" fillId="0" borderId="225" xfId="0" applyNumberFormat="1" applyFont="1" applyBorder="1" applyAlignment="1" applyProtection="1">
      <alignment vertical="center" wrapText="1"/>
      <protection hidden="1"/>
    </xf>
    <xf numFmtId="3" fontId="15" fillId="0" borderId="225" xfId="0" applyNumberFormat="1" applyFont="1" applyBorder="1" applyAlignment="1" applyProtection="1">
      <alignment horizontal="left" vertical="center" wrapText="1"/>
      <protection hidden="1"/>
    </xf>
    <xf numFmtId="169" fontId="16" fillId="0" borderId="225" xfId="5" applyNumberFormat="1" applyFont="1" applyBorder="1" applyAlignment="1" applyProtection="1">
      <alignment horizontal="center" vertical="center"/>
      <protection hidden="1"/>
    </xf>
    <xf numFmtId="169" fontId="16" fillId="0" borderId="0" xfId="5" applyNumberFormat="1" applyFont="1" applyBorder="1" applyAlignment="1" applyProtection="1">
      <alignment horizontal="center" vertical="center"/>
      <protection hidden="1"/>
    </xf>
    <xf numFmtId="3" fontId="15" fillId="0" borderId="5" xfId="0" applyNumberFormat="1" applyFont="1" applyFill="1" applyBorder="1" applyAlignment="1" applyProtection="1">
      <alignment horizontal="left" vertical="center" wrapText="1"/>
      <protection hidden="1"/>
    </xf>
    <xf numFmtId="0" fontId="8" fillId="0" borderId="0" xfId="0" applyFont="1" applyBorder="1" applyAlignment="1" applyProtection="1">
      <alignment wrapText="1"/>
      <protection hidden="1"/>
    </xf>
    <xf numFmtId="0" fontId="8" fillId="0" borderId="0" xfId="0" applyFont="1" applyBorder="1" applyProtection="1">
      <protection hidden="1"/>
    </xf>
    <xf numFmtId="0" fontId="17" fillId="0" borderId="0" xfId="0" applyFont="1" applyBorder="1" applyProtection="1">
      <protection hidden="1"/>
    </xf>
    <xf numFmtId="3" fontId="15" fillId="0" borderId="0" xfId="0" applyNumberFormat="1" applyFont="1" applyBorder="1" applyAlignment="1" applyProtection="1">
      <alignment vertical="center" wrapText="1"/>
      <protection hidden="1"/>
    </xf>
    <xf numFmtId="0" fontId="17" fillId="0" borderId="0" xfId="0" applyFont="1" applyBorder="1" applyAlignment="1" applyProtection="1">
      <alignment vertical="center"/>
      <protection hidden="1"/>
    </xf>
    <xf numFmtId="0" fontId="17" fillId="0" borderId="0" xfId="0" applyFont="1" applyFill="1" applyBorder="1" applyAlignment="1" applyProtection="1">
      <alignment vertical="center"/>
      <protection hidden="1"/>
    </xf>
    <xf numFmtId="3" fontId="15" fillId="0" borderId="0" xfId="0" applyNumberFormat="1" applyFont="1" applyBorder="1" applyAlignment="1" applyProtection="1">
      <alignment wrapText="1"/>
      <protection hidden="1"/>
    </xf>
    <xf numFmtId="3" fontId="15" fillId="0" borderId="0" xfId="0" applyNumberFormat="1" applyFont="1" applyBorder="1" applyAlignment="1" applyProtection="1">
      <alignment horizontal="center" wrapText="1"/>
      <protection hidden="1"/>
    </xf>
    <xf numFmtId="3" fontId="15" fillId="0" borderId="0" xfId="0" applyNumberFormat="1" applyFont="1" applyFill="1" applyBorder="1" applyAlignment="1" applyProtection="1">
      <alignment horizontal="center" wrapText="1"/>
      <protection hidden="1"/>
    </xf>
    <xf numFmtId="2" fontId="16" fillId="0" borderId="0" xfId="0" applyNumberFormat="1" applyFont="1" applyFill="1" applyBorder="1" applyAlignment="1" applyProtection="1">
      <alignment horizontal="right"/>
      <protection hidden="1"/>
    </xf>
    <xf numFmtId="2" fontId="16" fillId="0" borderId="0" xfId="0" applyNumberFormat="1" applyFont="1" applyBorder="1" applyAlignment="1" applyProtection="1">
      <alignment horizontal="right"/>
      <protection hidden="1"/>
    </xf>
    <xf numFmtId="0" fontId="8" fillId="0" borderId="0" xfId="0" applyFont="1" applyFill="1" applyBorder="1" applyProtection="1">
      <protection hidden="1"/>
    </xf>
    <xf numFmtId="0" fontId="16" fillId="0" borderId="0" xfId="0" applyFont="1" applyBorder="1" applyAlignment="1" applyProtection="1">
      <alignment wrapText="1"/>
      <protection hidden="1"/>
    </xf>
    <xf numFmtId="0" fontId="16" fillId="0" borderId="0" xfId="0" applyFont="1" applyBorder="1" applyProtection="1">
      <protection hidden="1"/>
    </xf>
    <xf numFmtId="0" fontId="80" fillId="12" borderId="286" xfId="0" applyFont="1" applyFill="1" applyBorder="1" applyAlignment="1">
      <alignment vertical="center"/>
    </xf>
    <xf numFmtId="174" fontId="188" fillId="3" borderId="0" xfId="0" applyNumberFormat="1" applyFont="1" applyFill="1" applyBorder="1" applyAlignment="1" applyProtection="1">
      <protection locked="0"/>
    </xf>
    <xf numFmtId="3" fontId="32" fillId="0" borderId="0" xfId="0" applyNumberFormat="1" applyFont="1" applyFill="1" applyBorder="1" applyAlignment="1">
      <alignment horizontal="center" vertical="center"/>
    </xf>
    <xf numFmtId="174" fontId="125" fillId="0" borderId="0" xfId="0" applyNumberFormat="1" applyFont="1" applyFill="1" applyBorder="1" applyAlignment="1" applyProtection="1">
      <alignment horizontal="center" vertical="center"/>
    </xf>
    <xf numFmtId="177" fontId="32" fillId="0" borderId="0" xfId="5" applyNumberFormat="1" applyFont="1" applyFill="1" applyBorder="1" applyAlignment="1" applyProtection="1">
      <alignment vertical="center"/>
    </xf>
    <xf numFmtId="174" fontId="189" fillId="0" borderId="0" xfId="0" applyNumberFormat="1" applyFont="1" applyFill="1" applyBorder="1" applyAlignment="1" applyProtection="1">
      <alignment horizontal="center"/>
    </xf>
    <xf numFmtId="174" fontId="32" fillId="0" borderId="245" xfId="0" applyNumberFormat="1" applyFont="1" applyFill="1" applyBorder="1" applyAlignment="1" applyProtection="1">
      <alignment vertical="center"/>
    </xf>
    <xf numFmtId="8" fontId="139" fillId="0" borderId="0" xfId="5" applyNumberFormat="1" applyFont="1" applyFill="1" applyBorder="1" applyAlignment="1" applyProtection="1">
      <alignment horizontal="center" vertical="center" wrapText="1"/>
    </xf>
    <xf numFmtId="174" fontId="139" fillId="0" borderId="0" xfId="0" applyNumberFormat="1" applyFont="1" applyFill="1" applyBorder="1" applyAlignment="1" applyProtection="1">
      <alignment horizontal="center" vertical="center"/>
    </xf>
    <xf numFmtId="174" fontId="190" fillId="9" borderId="353" xfId="0" applyNumberFormat="1" applyFont="1" applyFill="1" applyBorder="1" applyProtection="1"/>
    <xf numFmtId="177" fontId="190" fillId="9" borderId="359" xfId="0" applyNumberFormat="1" applyFont="1" applyFill="1" applyBorder="1" applyProtection="1"/>
    <xf numFmtId="177" fontId="190" fillId="9" borderId="202" xfId="0" applyNumberFormat="1" applyFont="1" applyFill="1" applyBorder="1" applyProtection="1"/>
    <xf numFmtId="168" fontId="190" fillId="9" borderId="202" xfId="0" applyNumberFormat="1" applyFont="1" applyFill="1" applyBorder="1" applyProtection="1"/>
    <xf numFmtId="177" fontId="190" fillId="9" borderId="353" xfId="0" applyNumberFormat="1" applyFont="1" applyFill="1" applyBorder="1" applyProtection="1"/>
    <xf numFmtId="174" fontId="191" fillId="0" borderId="360" xfId="0" applyNumberFormat="1" applyFont="1" applyFill="1" applyBorder="1" applyAlignment="1" applyProtection="1">
      <alignment vertical="center"/>
      <protection locked="0"/>
    </xf>
    <xf numFmtId="174" fontId="191" fillId="0" borderId="361" xfId="0" applyNumberFormat="1" applyFont="1" applyFill="1" applyBorder="1" applyAlignment="1" applyProtection="1">
      <alignment vertical="center"/>
      <protection locked="0"/>
    </xf>
    <xf numFmtId="9" fontId="191" fillId="0" borderId="361" xfId="0" applyNumberFormat="1" applyFont="1" applyFill="1" applyBorder="1" applyAlignment="1" applyProtection="1">
      <alignment vertical="center"/>
      <protection locked="0"/>
    </xf>
    <xf numFmtId="177" fontId="191" fillId="0" borderId="362" xfId="0" applyNumberFormat="1" applyFont="1" applyFill="1" applyBorder="1" applyProtection="1"/>
    <xf numFmtId="177" fontId="191" fillId="0" borderId="360" xfId="0" applyNumberFormat="1" applyFont="1" applyFill="1" applyBorder="1"/>
    <xf numFmtId="177" fontId="191" fillId="0" borderId="361" xfId="0" applyNumberFormat="1" applyFont="1" applyFill="1" applyBorder="1"/>
    <xf numFmtId="9" fontId="191" fillId="3" borderId="361" xfId="0" applyNumberFormat="1" applyFont="1" applyFill="1" applyBorder="1" applyAlignment="1" applyProtection="1">
      <alignment vertical="center"/>
      <protection locked="0"/>
    </xf>
    <xf numFmtId="168" fontId="191" fillId="0" borderId="362" xfId="0" applyNumberFormat="1" applyFont="1" applyFill="1" applyBorder="1" applyProtection="1"/>
    <xf numFmtId="177" fontId="190" fillId="9" borderId="360" xfId="0" applyNumberFormat="1" applyFont="1" applyFill="1" applyBorder="1" applyProtection="1"/>
    <xf numFmtId="177" fontId="190" fillId="9" borderId="361" xfId="0" applyNumberFormat="1" applyFont="1" applyFill="1" applyBorder="1" applyProtection="1"/>
    <xf numFmtId="168" fontId="190" fillId="9" borderId="361" xfId="0" applyNumberFormat="1" applyFont="1" applyFill="1" applyBorder="1" applyProtection="1"/>
    <xf numFmtId="174" fontId="190" fillId="9" borderId="362" xfId="0" applyNumberFormat="1" applyFont="1" applyFill="1" applyBorder="1" applyProtection="1"/>
    <xf numFmtId="174" fontId="191" fillId="4" borderId="360" xfId="0" applyNumberFormat="1" applyFont="1" applyFill="1" applyBorder="1" applyAlignment="1" applyProtection="1">
      <alignment vertical="center"/>
      <protection locked="0"/>
    </xf>
    <xf numFmtId="174" fontId="191" fillId="0" borderId="362" xfId="0" applyNumberFormat="1" applyFont="1" applyFill="1" applyBorder="1" applyProtection="1"/>
    <xf numFmtId="168" fontId="191" fillId="0" borderId="361" xfId="0" applyNumberFormat="1" applyFont="1" applyFill="1" applyBorder="1"/>
    <xf numFmtId="177" fontId="190" fillId="9" borderId="360" xfId="0" applyNumberFormat="1" applyFont="1" applyFill="1" applyBorder="1"/>
    <xf numFmtId="177" fontId="190" fillId="9" borderId="361" xfId="0" applyNumberFormat="1" applyFont="1" applyFill="1" applyBorder="1"/>
    <xf numFmtId="168" fontId="190" fillId="9" borderId="361" xfId="0" applyNumberFormat="1" applyFont="1" applyFill="1" applyBorder="1"/>
    <xf numFmtId="177" fontId="191" fillId="0" borderId="360" xfId="0" applyNumberFormat="1" applyFont="1" applyFill="1" applyBorder="1" applyProtection="1">
      <protection locked="0"/>
    </xf>
    <xf numFmtId="174" fontId="191" fillId="3" borderId="361" xfId="0" applyNumberFormat="1" applyFont="1" applyFill="1" applyBorder="1" applyAlignment="1" applyProtection="1">
      <alignment vertical="center"/>
      <protection locked="0"/>
    </xf>
    <xf numFmtId="9" fontId="191" fillId="0" borderId="361" xfId="0" applyNumberFormat="1" applyFont="1" applyFill="1" applyBorder="1" applyProtection="1">
      <protection locked="0"/>
    </xf>
    <xf numFmtId="177" fontId="190" fillId="9" borderId="360" xfId="0" applyNumberFormat="1" applyFont="1" applyFill="1" applyBorder="1" applyAlignment="1" applyProtection="1">
      <alignment vertical="center"/>
    </xf>
    <xf numFmtId="177" fontId="190" fillId="9" borderId="361" xfId="0" applyNumberFormat="1" applyFont="1" applyFill="1" applyBorder="1" applyAlignment="1" applyProtection="1">
      <alignment vertical="center"/>
    </xf>
    <xf numFmtId="168" fontId="190" fillId="9" borderId="361" xfId="0" applyNumberFormat="1" applyFont="1" applyFill="1" applyBorder="1" applyAlignment="1" applyProtection="1">
      <alignment vertical="center"/>
    </xf>
    <xf numFmtId="168" fontId="191" fillId="4" borderId="361" xfId="0" applyNumberFormat="1" applyFont="1" applyFill="1" applyBorder="1" applyProtection="1"/>
    <xf numFmtId="168" fontId="191" fillId="4" borderId="362" xfId="0" applyNumberFormat="1" applyFont="1" applyFill="1" applyBorder="1" applyProtection="1"/>
    <xf numFmtId="174" fontId="191" fillId="0" borderId="363" xfId="0" applyNumberFormat="1" applyFont="1" applyFill="1" applyBorder="1" applyProtection="1"/>
    <xf numFmtId="174" fontId="191" fillId="4" borderId="365" xfId="0" applyNumberFormat="1" applyFont="1" applyFill="1" applyBorder="1" applyAlignment="1" applyProtection="1">
      <alignment vertical="center"/>
      <protection locked="0"/>
    </xf>
    <xf numFmtId="174" fontId="191" fillId="0" borderId="210" xfId="0" applyNumberFormat="1" applyFont="1" applyFill="1" applyBorder="1" applyAlignment="1" applyProtection="1">
      <alignment vertical="center"/>
      <protection locked="0"/>
    </xf>
    <xf numFmtId="9" fontId="191" fillId="0" borderId="210" xfId="0" applyNumberFormat="1" applyFont="1" applyFill="1" applyBorder="1" applyAlignment="1" applyProtection="1">
      <alignment vertical="center"/>
      <protection locked="0"/>
    </xf>
    <xf numFmtId="0" fontId="0" fillId="0" borderId="0" xfId="0" applyFill="1" applyBorder="1" applyAlignment="1">
      <alignment horizontal="center" vertical="center" wrapText="1"/>
    </xf>
    <xf numFmtId="168" fontId="32" fillId="0" borderId="0" xfId="5" applyNumberFormat="1" applyFont="1" applyFill="1" applyBorder="1" applyAlignment="1" applyProtection="1">
      <alignment horizontal="center" vertical="center" wrapText="1"/>
    </xf>
    <xf numFmtId="174" fontId="191" fillId="0" borderId="0" xfId="0" applyNumberFormat="1" applyFont="1" applyFill="1" applyBorder="1" applyAlignment="1" applyProtection="1">
      <alignment horizontal="center" vertical="center"/>
    </xf>
    <xf numFmtId="174" fontId="171" fillId="0" borderId="0" xfId="0" applyNumberFormat="1" applyFont="1" applyFill="1" applyBorder="1" applyAlignment="1" applyProtection="1">
      <alignment horizontal="center"/>
    </xf>
    <xf numFmtId="166" fontId="90" fillId="0" borderId="262" xfId="0" applyNumberFormat="1" applyFont="1" applyFill="1" applyBorder="1" applyAlignment="1">
      <alignment horizontal="right" vertical="center"/>
    </xf>
    <xf numFmtId="166" fontId="90" fillId="0" borderId="263" xfId="5" applyNumberFormat="1" applyFont="1" applyBorder="1" applyAlignment="1">
      <alignment horizontal="right" vertical="center"/>
    </xf>
    <xf numFmtId="166" fontId="90" fillId="0" borderId="263" xfId="5" applyNumberFormat="1" applyFont="1" applyFill="1" applyBorder="1" applyAlignment="1">
      <alignment horizontal="right" vertical="center"/>
    </xf>
    <xf numFmtId="174" fontId="32" fillId="0" borderId="366" xfId="0" applyNumberFormat="1" applyFont="1" applyFill="1" applyBorder="1" applyAlignment="1" applyProtection="1">
      <alignment horizontal="center" vertical="center"/>
    </xf>
    <xf numFmtId="178" fontId="37" fillId="0" borderId="11" xfId="0" applyNumberFormat="1" applyFont="1" applyFill="1" applyBorder="1" applyAlignment="1" applyProtection="1">
      <protection locked="0"/>
    </xf>
    <xf numFmtId="178" fontId="37" fillId="0" borderId="0" xfId="0" applyNumberFormat="1" applyFont="1" applyFill="1" applyBorder="1" applyAlignment="1" applyProtection="1">
      <protection locked="0"/>
    </xf>
    <xf numFmtId="178" fontId="37" fillId="0" borderId="35" xfId="0" applyNumberFormat="1" applyFont="1" applyFill="1" applyBorder="1" applyAlignment="1" applyProtection="1">
      <protection locked="0"/>
    </xf>
    <xf numFmtId="0" fontId="37" fillId="0" borderId="369" xfId="0" applyFont="1" applyBorder="1" applyAlignment="1"/>
    <xf numFmtId="0" fontId="37" fillId="0" borderId="370" xfId="0" applyFont="1" applyBorder="1" applyAlignment="1"/>
    <xf numFmtId="177" fontId="32" fillId="4" borderId="199" xfId="0" applyNumberFormat="1" applyFont="1" applyFill="1" applyBorder="1" applyAlignment="1" applyProtection="1">
      <alignment horizontal="right" vertical="center"/>
    </xf>
    <xf numFmtId="166" fontId="130" fillId="10" borderId="172" xfId="5" applyNumberFormat="1" applyFont="1" applyFill="1" applyBorder="1" applyAlignment="1" applyProtection="1">
      <alignment horizontal="right"/>
      <protection locked="0"/>
    </xf>
    <xf numFmtId="177" fontId="130" fillId="0" borderId="172" xfId="5" applyNumberFormat="1" applyFont="1" applyFill="1" applyBorder="1" applyAlignment="1" applyProtection="1">
      <alignment horizontal="right"/>
    </xf>
    <xf numFmtId="177" fontId="193" fillId="12" borderId="199" xfId="0" applyNumberFormat="1" applyFont="1" applyFill="1" applyBorder="1" applyAlignment="1" applyProtection="1">
      <alignment horizontal="right" vertical="center"/>
    </xf>
    <xf numFmtId="177" fontId="193" fillId="0" borderId="199" xfId="0" applyNumberFormat="1" applyFont="1" applyBorder="1" applyAlignment="1" applyProtection="1">
      <alignment horizontal="right" vertical="center"/>
    </xf>
    <xf numFmtId="177" fontId="193" fillId="4" borderId="199" xfId="0" applyNumberFormat="1" applyFont="1" applyFill="1" applyBorder="1" applyAlignment="1" applyProtection="1">
      <alignment horizontal="right" vertical="center"/>
    </xf>
    <xf numFmtId="177" fontId="193" fillId="0" borderId="199" xfId="0" applyNumberFormat="1" applyFont="1" applyFill="1" applyBorder="1" applyAlignment="1" applyProtection="1">
      <alignment horizontal="right" vertical="center"/>
    </xf>
    <xf numFmtId="3" fontId="194" fillId="8" borderId="0" xfId="0" applyNumberFormat="1" applyFont="1" applyFill="1" applyBorder="1"/>
    <xf numFmtId="0" fontId="37" fillId="0" borderId="372" xfId="0" applyFont="1" applyBorder="1" applyAlignment="1"/>
    <xf numFmtId="3" fontId="8" fillId="8" borderId="0" xfId="0" applyNumberFormat="1" applyFont="1" applyFill="1"/>
    <xf numFmtId="0" fontId="0" fillId="0" borderId="0" xfId="0" applyAlignment="1">
      <alignment horizontal="center" vertical="center"/>
    </xf>
    <xf numFmtId="49" fontId="37" fillId="8" borderId="0" xfId="0" applyNumberFormat="1" applyFont="1" applyFill="1"/>
    <xf numFmtId="166" fontId="35" fillId="9" borderId="160" xfId="0" applyNumberFormat="1" applyFont="1" applyFill="1" applyBorder="1" applyAlignment="1" applyProtection="1">
      <alignment horizontal="right" vertical="center"/>
      <protection locked="0"/>
    </xf>
    <xf numFmtId="168" fontId="35" fillId="9" borderId="160" xfId="0" applyNumberFormat="1" applyFont="1" applyFill="1" applyBorder="1" applyAlignment="1" applyProtection="1">
      <alignment horizontal="right" vertical="center"/>
      <protection locked="0"/>
    </xf>
    <xf numFmtId="168" fontId="35" fillId="9" borderId="161" xfId="0" applyNumberFormat="1" applyFont="1" applyFill="1" applyBorder="1" applyAlignment="1" applyProtection="1">
      <alignment horizontal="right" vertical="center"/>
      <protection locked="0"/>
    </xf>
    <xf numFmtId="174" fontId="35" fillId="9" borderId="230" xfId="0" applyNumberFormat="1" applyFont="1" applyFill="1" applyBorder="1" applyAlignment="1" applyProtection="1">
      <alignment horizontal="right" vertical="center"/>
      <protection locked="0"/>
    </xf>
    <xf numFmtId="0" fontId="195" fillId="8" borderId="0" xfId="0" applyFont="1" applyFill="1" applyBorder="1"/>
    <xf numFmtId="3" fontId="151" fillId="8" borderId="0" xfId="0" applyNumberFormat="1" applyFont="1" applyFill="1" applyBorder="1" applyAlignment="1" applyProtection="1">
      <alignment horizontal="left"/>
      <protection hidden="1"/>
    </xf>
    <xf numFmtId="0" fontId="17" fillId="0" borderId="0" xfId="0" applyFont="1" applyFill="1" applyProtection="1">
      <protection hidden="1"/>
    </xf>
    <xf numFmtId="49" fontId="178" fillId="0" borderId="0" xfId="0" applyNumberFormat="1" applyFont="1" applyAlignment="1">
      <alignment horizontal="center" vertical="center" wrapText="1"/>
    </xf>
    <xf numFmtId="0" fontId="0" fillId="0" borderId="35" xfId="0" applyBorder="1" applyAlignment="1">
      <alignment horizontal="center" wrapText="1"/>
    </xf>
    <xf numFmtId="0" fontId="196" fillId="0" borderId="0" xfId="0" applyFont="1"/>
    <xf numFmtId="0" fontId="107" fillId="0" borderId="61" xfId="0" applyFont="1" applyBorder="1" applyAlignment="1">
      <alignment horizontal="left"/>
    </xf>
    <xf numFmtId="0" fontId="105" fillId="0" borderId="0" xfId="0" applyFont="1" applyBorder="1" applyAlignment="1">
      <alignment horizontal="left"/>
    </xf>
    <xf numFmtId="0" fontId="109" fillId="6" borderId="0" xfId="0" applyFont="1" applyFill="1" applyBorder="1" applyAlignment="1">
      <alignment horizontal="left"/>
    </xf>
    <xf numFmtId="0" fontId="4" fillId="0" borderId="0" xfId="0" applyFont="1" applyFill="1" applyBorder="1" applyAlignment="1">
      <alignment horizontal="left"/>
    </xf>
    <xf numFmtId="0" fontId="106" fillId="0" borderId="0" xfId="0" applyFont="1" applyBorder="1" applyAlignment="1">
      <alignment horizontal="left"/>
    </xf>
    <xf numFmtId="0" fontId="112" fillId="0" borderId="66" xfId="0" applyFont="1" applyBorder="1" applyAlignment="1">
      <alignment horizontal="left"/>
    </xf>
    <xf numFmtId="0" fontId="113" fillId="2" borderId="0" xfId="0" applyFont="1" applyFill="1" applyBorder="1" applyAlignment="1">
      <alignment horizontal="left"/>
    </xf>
    <xf numFmtId="0" fontId="110" fillId="0" borderId="66" xfId="0" applyFont="1" applyBorder="1" applyAlignment="1">
      <alignment horizontal="left"/>
    </xf>
    <xf numFmtId="1" fontId="36" fillId="0" borderId="0" xfId="0" applyNumberFormat="1" applyFont="1" applyFill="1" applyAlignment="1" applyProtection="1">
      <alignment horizontal="left"/>
      <protection locked="0"/>
    </xf>
    <xf numFmtId="183" fontId="36" fillId="0" borderId="0" xfId="0" applyNumberFormat="1" applyFont="1" applyFill="1" applyAlignment="1" applyProtection="1">
      <alignment horizontal="center"/>
      <protection locked="0"/>
    </xf>
    <xf numFmtId="0" fontId="36" fillId="0" borderId="0" xfId="0" applyFont="1" applyFill="1" applyAlignment="1">
      <alignment horizontal="left"/>
    </xf>
    <xf numFmtId="9" fontId="36" fillId="0" borderId="0" xfId="5" applyFont="1" applyFill="1" applyBorder="1" applyAlignment="1" applyProtection="1">
      <alignment horizontal="center" vertical="center"/>
      <protection locked="0"/>
    </xf>
    <xf numFmtId="0" fontId="36" fillId="0" borderId="80" xfId="0" applyFont="1" applyFill="1" applyBorder="1" applyAlignment="1" applyProtection="1">
      <alignment horizontal="left"/>
      <protection locked="0"/>
    </xf>
    <xf numFmtId="0" fontId="34" fillId="0" borderId="4" xfId="0" applyFont="1" applyFill="1" applyBorder="1" applyAlignment="1">
      <alignment horizontal="center" vertical="center" wrapText="1"/>
    </xf>
    <xf numFmtId="0" fontId="17" fillId="0" borderId="0" xfId="0" applyFont="1"/>
    <xf numFmtId="8" fontId="34" fillId="0" borderId="71" xfId="0" applyNumberFormat="1" applyFont="1" applyFill="1" applyBorder="1" applyAlignment="1" applyProtection="1">
      <alignment horizontal="center" vertical="center"/>
    </xf>
    <xf numFmtId="8" fontId="34" fillId="0" borderId="71" xfId="0" applyNumberFormat="1" applyFont="1" applyFill="1" applyBorder="1" applyAlignment="1" applyProtection="1">
      <alignment horizontal="center" vertical="center" wrapText="1"/>
    </xf>
    <xf numFmtId="166" fontId="36" fillId="0" borderId="111" xfId="0" applyNumberFormat="1" applyFont="1" applyBorder="1" applyAlignment="1">
      <alignment horizontal="center"/>
    </xf>
    <xf numFmtId="3" fontId="199" fillId="0" borderId="0" xfId="0" applyNumberFormat="1" applyFont="1"/>
    <xf numFmtId="174" fontId="36" fillId="0" borderId="11" xfId="0" applyNumberFormat="1" applyFont="1" applyFill="1" applyBorder="1" applyProtection="1"/>
    <xf numFmtId="174" fontId="32" fillId="0" borderId="198" xfId="0" applyNumberFormat="1" applyFont="1" applyBorder="1"/>
    <xf numFmtId="174" fontId="36" fillId="0" borderId="14" xfId="0" applyNumberFormat="1" applyFont="1" applyFill="1" applyBorder="1" applyProtection="1"/>
    <xf numFmtId="174" fontId="32" fillId="0" borderId="173" xfId="0" applyNumberFormat="1" applyFont="1" applyBorder="1"/>
    <xf numFmtId="177" fontId="36" fillId="0" borderId="89" xfId="0" applyNumberFormat="1" applyFont="1" applyBorder="1"/>
    <xf numFmtId="177" fontId="36" fillId="0" borderId="22" xfId="0" applyNumberFormat="1" applyFont="1" applyBorder="1"/>
    <xf numFmtId="177" fontId="36" fillId="0" borderId="173" xfId="0" applyNumberFormat="1" applyFont="1" applyBorder="1"/>
    <xf numFmtId="3" fontId="121" fillId="0" borderId="0" xfId="0" applyNumberFormat="1" applyFont="1" applyAlignment="1">
      <alignment horizontal="right"/>
    </xf>
    <xf numFmtId="177" fontId="32" fillId="0" borderId="19" xfId="0" applyNumberFormat="1" applyFont="1" applyBorder="1"/>
    <xf numFmtId="3" fontId="32" fillId="0" borderId="19" xfId="0" applyNumberFormat="1" applyFont="1" applyFill="1" applyBorder="1" applyAlignment="1">
      <alignment horizontal="left" vertical="center"/>
    </xf>
    <xf numFmtId="3" fontId="32" fillId="0" borderId="21" xfId="0" applyNumberFormat="1" applyFont="1" applyFill="1" applyBorder="1" applyAlignment="1">
      <alignment horizontal="left" vertical="center"/>
    </xf>
    <xf numFmtId="3" fontId="200" fillId="0" borderId="0" xfId="0" applyNumberFormat="1" applyFont="1" applyAlignment="1">
      <alignment horizontal="center"/>
    </xf>
    <xf numFmtId="3" fontId="200" fillId="0" borderId="0" xfId="0" applyNumberFormat="1" applyFont="1"/>
    <xf numFmtId="3" fontId="201" fillId="0" borderId="0" xfId="0" applyNumberFormat="1" applyFont="1"/>
    <xf numFmtId="3" fontId="202" fillId="0" borderId="0" xfId="0" applyNumberFormat="1" applyFont="1"/>
    <xf numFmtId="166" fontId="35" fillId="0" borderId="46" xfId="0" applyNumberFormat="1" applyFont="1" applyBorder="1"/>
    <xf numFmtId="174" fontId="32" fillId="0" borderId="374" xfId="0" applyNumberFormat="1" applyFont="1" applyBorder="1"/>
    <xf numFmtId="174" fontId="32" fillId="0" borderId="375" xfId="0" applyNumberFormat="1" applyFont="1" applyBorder="1"/>
    <xf numFmtId="174" fontId="32" fillId="0" borderId="376" xfId="0" applyNumberFormat="1" applyFont="1" applyBorder="1"/>
    <xf numFmtId="3" fontId="33" fillId="8" borderId="261" xfId="0" applyNumberFormat="1" applyFont="1" applyFill="1" applyBorder="1" applyAlignment="1">
      <alignment horizontal="left"/>
    </xf>
    <xf numFmtId="166" fontId="37" fillId="0" borderId="377" xfId="5" applyNumberFormat="1" applyFont="1" applyBorder="1"/>
    <xf numFmtId="174" fontId="37" fillId="0" borderId="377" xfId="0" applyNumberFormat="1" applyFont="1" applyBorder="1"/>
    <xf numFmtId="166" fontId="37" fillId="0" borderId="262" xfId="5" applyNumberFormat="1" applyFont="1" applyBorder="1"/>
    <xf numFmtId="166" fontId="35" fillId="0" borderId="0" xfId="0" applyNumberFormat="1" applyFont="1" applyBorder="1"/>
    <xf numFmtId="181" fontId="37" fillId="0" borderId="0" xfId="0" applyNumberFormat="1" applyFont="1" applyBorder="1" applyAlignment="1">
      <alignment horizontal="center"/>
    </xf>
    <xf numFmtId="9" fontId="32" fillId="4" borderId="54" xfId="5" applyFont="1" applyFill="1" applyBorder="1" applyAlignment="1" applyProtection="1">
      <alignment horizontal="center" vertical="top"/>
    </xf>
    <xf numFmtId="166" fontId="95" fillId="4" borderId="54" xfId="5" applyNumberFormat="1" applyFont="1" applyFill="1" applyBorder="1" applyAlignment="1" applyProtection="1">
      <alignment horizontal="center" vertical="top"/>
    </xf>
    <xf numFmtId="166" fontId="95" fillId="4" borderId="161" xfId="5" applyNumberFormat="1" applyFont="1" applyFill="1" applyBorder="1" applyAlignment="1" applyProtection="1">
      <alignment horizontal="center" vertical="top"/>
    </xf>
    <xf numFmtId="166" fontId="95" fillId="4" borderId="158" xfId="5" applyNumberFormat="1" applyFont="1" applyFill="1" applyBorder="1" applyAlignment="1" applyProtection="1">
      <alignment horizontal="center" vertical="top"/>
    </xf>
    <xf numFmtId="9" fontId="95" fillId="0" borderId="148" xfId="5" applyFont="1" applyBorder="1" applyAlignment="1">
      <alignment horizontal="center" vertical="center"/>
    </xf>
    <xf numFmtId="166" fontId="95" fillId="4" borderId="158" xfId="5" applyNumberFormat="1" applyFont="1" applyFill="1" applyBorder="1" applyAlignment="1" applyProtection="1">
      <alignment horizontal="center" vertical="center"/>
    </xf>
    <xf numFmtId="3" fontId="7" fillId="0" borderId="0" xfId="0" applyNumberFormat="1" applyFont="1" applyFill="1"/>
    <xf numFmtId="3" fontId="7" fillId="0" borderId="0" xfId="0" applyNumberFormat="1" applyFont="1" applyFill="1" applyBorder="1" applyAlignment="1">
      <alignment horizontal="center"/>
    </xf>
    <xf numFmtId="0" fontId="203" fillId="0" borderId="0" xfId="0" quotePrefix="1" applyFont="1" applyFill="1" applyBorder="1" applyAlignment="1">
      <alignment horizontal="center" vertical="center" wrapText="1"/>
    </xf>
    <xf numFmtId="166" fontId="35" fillId="0" borderId="0" xfId="0" applyNumberFormat="1" applyFont="1" applyFill="1" applyBorder="1" applyAlignment="1" applyProtection="1">
      <alignment horizontal="center"/>
      <protection locked="0"/>
    </xf>
    <xf numFmtId="166" fontId="37" fillId="0" borderId="0" xfId="0" applyNumberFormat="1" applyFont="1" applyFill="1" applyBorder="1" applyAlignment="1" applyProtection="1">
      <alignment horizontal="center"/>
      <protection locked="0"/>
    </xf>
    <xf numFmtId="3" fontId="14" fillId="0" borderId="0" xfId="0" applyNumberFormat="1" applyFont="1" applyFill="1"/>
    <xf numFmtId="3" fontId="7" fillId="0" borderId="0" xfId="0" applyNumberFormat="1" applyFont="1" applyFill="1" applyAlignment="1">
      <alignment horizontal="center"/>
    </xf>
    <xf numFmtId="177" fontId="32" fillId="0" borderId="21" xfId="0" applyNumberFormat="1" applyFont="1" applyBorder="1"/>
    <xf numFmtId="3" fontId="32" fillId="0" borderId="21" xfId="0" applyNumberFormat="1" applyFont="1" applyFill="1" applyBorder="1" applyAlignment="1">
      <alignment horizontal="center" vertical="center" wrapText="1"/>
    </xf>
    <xf numFmtId="0" fontId="37" fillId="0" borderId="21" xfId="0" applyFont="1" applyBorder="1" applyAlignment="1">
      <alignment horizontal="center" vertical="center" wrapText="1"/>
    </xf>
    <xf numFmtId="3" fontId="32" fillId="0" borderId="19" xfId="0" applyNumberFormat="1" applyFont="1" applyFill="1" applyBorder="1" applyAlignment="1">
      <alignment horizontal="center" vertical="center" wrapText="1"/>
    </xf>
    <xf numFmtId="0" fontId="37" fillId="0" borderId="19" xfId="0" applyFont="1" applyFill="1" applyBorder="1" applyAlignment="1">
      <alignment horizontal="center" vertical="center" wrapText="1"/>
    </xf>
    <xf numFmtId="177" fontId="156" fillId="0" borderId="0" xfId="0" applyNumberFormat="1" applyFont="1" applyFill="1" applyBorder="1"/>
    <xf numFmtId="0" fontId="0" fillId="0" borderId="0" xfId="0" applyFill="1" applyBorder="1" applyAlignment="1">
      <alignment wrapText="1"/>
    </xf>
    <xf numFmtId="3" fontId="200" fillId="0" borderId="0" xfId="0" applyNumberFormat="1" applyFont="1" applyFill="1" applyAlignment="1">
      <alignment horizontal="center"/>
    </xf>
    <xf numFmtId="177" fontId="36" fillId="0" borderId="224" xfId="0" applyNumberFormat="1" applyFont="1" applyFill="1" applyBorder="1" applyAlignment="1">
      <alignment horizontal="center"/>
    </xf>
    <xf numFmtId="166" fontId="36" fillId="0" borderId="78" xfId="0" applyNumberFormat="1" applyFont="1" applyBorder="1" applyAlignment="1">
      <alignment horizontal="center"/>
    </xf>
    <xf numFmtId="3" fontId="204" fillId="0" borderId="0" xfId="0" applyNumberFormat="1" applyFont="1" applyFill="1" applyBorder="1" applyAlignment="1">
      <alignment horizontal="center" vertical="center"/>
    </xf>
    <xf numFmtId="0" fontId="205" fillId="0" borderId="0" xfId="0" applyFont="1" applyFill="1" applyBorder="1" applyAlignment="1">
      <alignment vertical="center"/>
    </xf>
    <xf numFmtId="174" fontId="99" fillId="0" borderId="0" xfId="0" applyNumberFormat="1" applyFont="1" applyFill="1" applyBorder="1" applyAlignment="1">
      <alignment vertical="center"/>
    </xf>
    <xf numFmtId="177" fontId="205" fillId="0" borderId="0" xfId="0" applyNumberFormat="1" applyFont="1" applyFill="1" applyBorder="1" applyAlignment="1">
      <alignment vertical="center"/>
    </xf>
    <xf numFmtId="177" fontId="204" fillId="0" borderId="0" xfId="0" applyNumberFormat="1" applyFont="1" applyFill="1" applyBorder="1" applyAlignment="1">
      <alignment vertical="center"/>
    </xf>
    <xf numFmtId="3" fontId="98" fillId="0" borderId="0" xfId="0" applyNumberFormat="1" applyFont="1" applyAlignment="1">
      <alignment vertical="center"/>
    </xf>
    <xf numFmtId="3" fontId="99" fillId="0" borderId="0" xfId="0" applyNumberFormat="1" applyFont="1" applyAlignment="1">
      <alignment vertical="center"/>
    </xf>
    <xf numFmtId="3" fontId="35" fillId="0" borderId="74" xfId="0" applyNumberFormat="1" applyFont="1" applyBorder="1"/>
    <xf numFmtId="3" fontId="121" fillId="0" borderId="75" xfId="0" applyNumberFormat="1" applyFont="1" applyBorder="1" applyAlignment="1">
      <alignment horizontal="right"/>
    </xf>
    <xf numFmtId="166" fontId="35" fillId="0" borderId="382" xfId="0" applyNumberFormat="1" applyFont="1" applyFill="1" applyBorder="1" applyAlignment="1" applyProtection="1">
      <alignment horizontal="center"/>
      <protection locked="0"/>
    </xf>
    <xf numFmtId="174" fontId="32" fillId="0" borderId="157" xfId="0" applyNumberFormat="1" applyFont="1" applyFill="1" applyBorder="1" applyProtection="1"/>
    <xf numFmtId="174" fontId="32" fillId="0" borderId="142" xfId="0" applyNumberFormat="1" applyFont="1" applyBorder="1"/>
    <xf numFmtId="3" fontId="8" fillId="9" borderId="225" xfId="0" applyNumberFormat="1" applyFont="1" applyFill="1" applyBorder="1"/>
    <xf numFmtId="0" fontId="0" fillId="0" borderId="0" xfId="0" applyBorder="1" applyAlignment="1">
      <alignment horizontal="center" wrapText="1"/>
    </xf>
    <xf numFmtId="0" fontId="0" fillId="0" borderId="0" xfId="0" applyFill="1" applyBorder="1" applyAlignment="1">
      <alignment horizontal="center" wrapText="1"/>
    </xf>
    <xf numFmtId="0" fontId="0" fillId="0" borderId="35" xfId="0" applyBorder="1" applyAlignment="1">
      <alignment horizontal="center" vertical="center" wrapText="1"/>
    </xf>
    <xf numFmtId="3" fontId="206" fillId="0" borderId="0" xfId="0" applyNumberFormat="1" applyFont="1"/>
    <xf numFmtId="3" fontId="207" fillId="0" borderId="2" xfId="0" applyNumberFormat="1" applyFont="1" applyBorder="1" applyProtection="1"/>
    <xf numFmtId="174" fontId="120" fillId="0" borderId="107" xfId="0" applyNumberFormat="1" applyFont="1" applyFill="1" applyBorder="1" applyProtection="1"/>
    <xf numFmtId="174" fontId="120" fillId="0" borderId="87" xfId="0" applyNumberFormat="1" applyFont="1" applyFill="1" applyBorder="1" applyProtection="1"/>
    <xf numFmtId="174" fontId="120" fillId="0" borderId="106" xfId="0" applyNumberFormat="1" applyFont="1" applyFill="1" applyBorder="1" applyProtection="1"/>
    <xf numFmtId="174" fontId="207" fillId="0" borderId="38" xfId="0" applyNumberFormat="1" applyFont="1" applyBorder="1" applyProtection="1"/>
    <xf numFmtId="3" fontId="119" fillId="0" borderId="0" xfId="0" applyNumberFormat="1" applyFont="1" applyBorder="1"/>
    <xf numFmtId="174" fontId="120" fillId="0" borderId="36" xfId="0" applyNumberFormat="1" applyFont="1" applyFill="1" applyBorder="1" applyProtection="1"/>
    <xf numFmtId="174" fontId="120" fillId="0" borderId="293" xfId="0" applyNumberFormat="1" applyFont="1" applyFill="1" applyBorder="1" applyProtection="1"/>
    <xf numFmtId="3" fontId="207" fillId="0" borderId="0" xfId="0" applyNumberFormat="1" applyFont="1" applyBorder="1"/>
    <xf numFmtId="3" fontId="207" fillId="0" borderId="2" xfId="0" applyNumberFormat="1" applyFont="1" applyFill="1" applyBorder="1" applyProtection="1"/>
    <xf numFmtId="3" fontId="207" fillId="0" borderId="0" xfId="0" applyNumberFormat="1" applyFont="1" applyFill="1" applyBorder="1"/>
    <xf numFmtId="174" fontId="120" fillId="0" borderId="75" xfId="0" applyNumberFormat="1" applyFont="1" applyFill="1" applyBorder="1" applyProtection="1"/>
    <xf numFmtId="174" fontId="120" fillId="0" borderId="224" xfId="0" applyNumberFormat="1" applyFont="1" applyFill="1" applyBorder="1" applyProtection="1"/>
    <xf numFmtId="174" fontId="120" fillId="0" borderId="84" xfId="0" applyNumberFormat="1" applyFont="1" applyFill="1" applyBorder="1" applyProtection="1"/>
    <xf numFmtId="174" fontId="120" fillId="0" borderId="222" xfId="0" applyNumberFormat="1" applyFont="1" applyFill="1" applyBorder="1" applyProtection="1"/>
    <xf numFmtId="174" fontId="207" fillId="0" borderId="35" xfId="0" applyNumberFormat="1" applyFont="1" applyBorder="1" applyProtection="1"/>
    <xf numFmtId="3" fontId="119" fillId="0" borderId="0" xfId="0" applyNumberFormat="1" applyFont="1" applyFill="1" applyBorder="1"/>
    <xf numFmtId="174" fontId="207" fillId="0" borderId="237" xfId="0" applyNumberFormat="1" applyFont="1" applyBorder="1" applyProtection="1"/>
    <xf numFmtId="174" fontId="120" fillId="0" borderId="167" xfId="0" applyNumberFormat="1" applyFont="1" applyFill="1" applyBorder="1" applyProtection="1"/>
    <xf numFmtId="174" fontId="120" fillId="0" borderId="32" xfId="0" applyNumberFormat="1" applyFont="1" applyFill="1" applyBorder="1" applyProtection="1"/>
    <xf numFmtId="174" fontId="120" fillId="0" borderId="26" xfId="0" applyNumberFormat="1" applyFont="1" applyFill="1" applyBorder="1" applyProtection="1"/>
    <xf numFmtId="174" fontId="120" fillId="0" borderId="275" xfId="0" applyNumberFormat="1" applyFont="1" applyFill="1" applyBorder="1" applyProtection="1"/>
    <xf numFmtId="174" fontId="32" fillId="0" borderId="120" xfId="0" applyNumberFormat="1" applyFont="1" applyBorder="1" applyProtection="1"/>
    <xf numFmtId="174" fontId="36" fillId="11" borderId="130" xfId="0" applyNumberFormat="1" applyFont="1" applyFill="1" applyBorder="1" applyProtection="1">
      <protection locked="0"/>
    </xf>
    <xf numFmtId="174" fontId="36" fillId="11" borderId="270" xfId="0" applyNumberFormat="1" applyFont="1" applyFill="1" applyBorder="1" applyProtection="1">
      <protection locked="0"/>
    </xf>
    <xf numFmtId="174" fontId="36" fillId="11" borderId="271" xfId="0" applyNumberFormat="1" applyFont="1" applyFill="1" applyBorder="1" applyProtection="1">
      <protection locked="0"/>
    </xf>
    <xf numFmtId="174" fontId="36" fillId="11" borderId="163" xfId="0" applyNumberFormat="1" applyFont="1" applyFill="1" applyBorder="1" applyProtection="1">
      <protection locked="0"/>
    </xf>
    <xf numFmtId="174" fontId="148" fillId="0" borderId="249" xfId="0" applyNumberFormat="1" applyFont="1" applyBorder="1"/>
    <xf numFmtId="166" fontId="148" fillId="0" borderId="123" xfId="5" applyNumberFormat="1" applyFont="1" applyBorder="1"/>
    <xf numFmtId="174" fontId="148" fillId="0" borderId="250" xfId="0" applyNumberFormat="1" applyFont="1" applyBorder="1"/>
    <xf numFmtId="166" fontId="148" fillId="0" borderId="377" xfId="5" applyNumberFormat="1" applyFont="1" applyBorder="1"/>
    <xf numFmtId="174" fontId="148" fillId="0" borderId="20" xfId="0" applyNumberFormat="1" applyFont="1" applyBorder="1"/>
    <xf numFmtId="166" fontId="148" fillId="0" borderId="126" xfId="5" applyNumberFormat="1" applyFont="1" applyBorder="1"/>
    <xf numFmtId="174" fontId="148" fillId="0" borderId="188" xfId="0" applyNumberFormat="1" applyFont="1" applyBorder="1"/>
    <xf numFmtId="166" fontId="148" fillId="0" borderId="124" xfId="5" applyNumberFormat="1" applyFont="1" applyBorder="1"/>
    <xf numFmtId="174" fontId="161" fillId="0" borderId="23" xfId="0" applyNumberFormat="1" applyFont="1" applyBorder="1"/>
    <xf numFmtId="166" fontId="161" fillId="0" borderId="128" xfId="5" applyNumberFormat="1" applyFont="1" applyBorder="1"/>
    <xf numFmtId="3" fontId="206" fillId="8" borderId="0" xfId="0" applyNumberFormat="1" applyFont="1" applyFill="1"/>
    <xf numFmtId="3" fontId="208" fillId="8" borderId="0" xfId="0" applyNumberFormat="1" applyFont="1" applyFill="1"/>
    <xf numFmtId="0" fontId="0" fillId="8" borderId="0" xfId="0" applyFill="1" applyBorder="1" applyAlignment="1">
      <alignment horizontal="center" wrapText="1"/>
    </xf>
    <xf numFmtId="0" fontId="0" fillId="8" borderId="35" xfId="0" applyFill="1" applyBorder="1" applyAlignment="1">
      <alignment horizontal="center" wrapText="1"/>
    </xf>
    <xf numFmtId="3" fontId="7" fillId="8" borderId="0" xfId="0" applyNumberFormat="1" applyFont="1" applyFill="1"/>
    <xf numFmtId="3" fontId="8" fillId="0" borderId="384" xfId="0" applyNumberFormat="1" applyFont="1" applyBorder="1"/>
    <xf numFmtId="3" fontId="175" fillId="0" borderId="181" xfId="0" applyNumberFormat="1" applyFont="1" applyFill="1" applyBorder="1" applyAlignment="1">
      <alignment horizontal="center" vertical="center"/>
    </xf>
    <xf numFmtId="177" fontId="174" fillId="0" borderId="181" xfId="0" applyNumberFormat="1" applyFont="1" applyFill="1" applyBorder="1" applyAlignment="1">
      <alignment horizontal="center"/>
    </xf>
    <xf numFmtId="3" fontId="200" fillId="0" borderId="0" xfId="0" applyNumberFormat="1" applyFont="1" applyFill="1" applyAlignment="1">
      <alignment horizontal="left"/>
    </xf>
    <xf numFmtId="3" fontId="33" fillId="0" borderId="54" xfId="0" applyNumberFormat="1" applyFont="1" applyFill="1" applyBorder="1" applyAlignment="1" applyProtection="1">
      <alignment vertical="center"/>
    </xf>
    <xf numFmtId="8" fontId="33" fillId="0" borderId="256" xfId="0" applyNumberFormat="1" applyFont="1" applyFill="1" applyBorder="1" applyAlignment="1" applyProtection="1">
      <alignment vertical="center"/>
    </xf>
    <xf numFmtId="3" fontId="209" fillId="0" borderId="161" xfId="0" applyNumberFormat="1" applyFont="1" applyFill="1" applyBorder="1" applyAlignment="1" applyProtection="1">
      <alignment vertical="center"/>
    </xf>
    <xf numFmtId="8" fontId="209" fillId="0" borderId="236" xfId="0" applyNumberFormat="1" applyFont="1" applyFill="1" applyBorder="1" applyAlignment="1" applyProtection="1">
      <alignment vertical="center"/>
    </xf>
    <xf numFmtId="3" fontId="209" fillId="0" borderId="54" xfId="0" applyNumberFormat="1" applyFont="1" applyFill="1" applyBorder="1" applyAlignment="1" applyProtection="1">
      <alignment vertical="center"/>
    </xf>
    <xf numFmtId="8" fontId="209" fillId="0" borderId="256" xfId="0" applyNumberFormat="1" applyFont="1" applyFill="1" applyBorder="1" applyAlignment="1" applyProtection="1">
      <alignment vertical="center"/>
    </xf>
    <xf numFmtId="3" fontId="96" fillId="0" borderId="0" xfId="0" applyNumberFormat="1" applyFont="1" applyFill="1"/>
    <xf numFmtId="0" fontId="198" fillId="0" borderId="0" xfId="0" quotePrefix="1" applyFont="1" applyFill="1" applyBorder="1" applyAlignment="1">
      <alignment horizontal="center" vertical="center"/>
    </xf>
    <xf numFmtId="3" fontId="32" fillId="0" borderId="0" xfId="0" applyNumberFormat="1" applyFont="1" applyBorder="1" applyAlignment="1" applyProtection="1">
      <alignment horizontal="center" wrapText="1"/>
    </xf>
    <xf numFmtId="166" fontId="32" fillId="0" borderId="0" xfId="5" applyNumberFormat="1" applyFont="1" applyBorder="1" applyAlignment="1" applyProtection="1">
      <alignment horizontal="center" wrapText="1"/>
    </xf>
    <xf numFmtId="166" fontId="35" fillId="0" borderId="0" xfId="0" applyNumberFormat="1" applyFont="1" applyFill="1" applyBorder="1"/>
    <xf numFmtId="3" fontId="34" fillId="0" borderId="0" xfId="0" applyNumberFormat="1" applyFont="1" applyFill="1"/>
    <xf numFmtId="3" fontId="200" fillId="0" borderId="0" xfId="0" applyNumberFormat="1" applyFont="1" applyFill="1" applyBorder="1" applyAlignment="1">
      <alignment horizontal="left" wrapText="1"/>
    </xf>
    <xf numFmtId="0" fontId="210" fillId="0" borderId="0" xfId="0" applyFont="1" applyFill="1" applyAlignment="1">
      <alignment horizontal="center" wrapText="1"/>
    </xf>
    <xf numFmtId="0" fontId="211" fillId="0" borderId="0" xfId="0" applyFont="1" applyFill="1" applyAlignment="1">
      <alignment horizontal="center" wrapText="1"/>
    </xf>
    <xf numFmtId="0" fontId="211" fillId="0" borderId="0" xfId="0" applyFont="1" applyFill="1" applyAlignment="1">
      <alignment wrapText="1"/>
    </xf>
    <xf numFmtId="3" fontId="200" fillId="0" borderId="0" xfId="0" applyNumberFormat="1" applyFont="1" applyFill="1" applyAlignment="1">
      <alignment horizontal="center" vertical="center"/>
    </xf>
    <xf numFmtId="3" fontId="96" fillId="0" borderId="0" xfId="0" applyNumberFormat="1" applyFont="1" applyAlignment="1">
      <alignment horizontal="center" vertical="center"/>
    </xf>
    <xf numFmtId="177" fontId="36" fillId="0" borderId="0" xfId="0" applyNumberFormat="1" applyFont="1" applyBorder="1" applyAlignment="1">
      <alignment vertical="center"/>
    </xf>
    <xf numFmtId="177" fontId="36" fillId="0" borderId="47" xfId="0" applyNumberFormat="1" applyFont="1" applyBorder="1" applyAlignment="1">
      <alignment vertical="center"/>
    </xf>
    <xf numFmtId="3" fontId="8" fillId="0" borderId="0" xfId="0" applyNumberFormat="1" applyFont="1" applyFill="1" applyBorder="1" applyAlignment="1">
      <alignment vertical="center"/>
    </xf>
    <xf numFmtId="177" fontId="36" fillId="0" borderId="245" xfId="0" applyNumberFormat="1" applyFont="1" applyBorder="1" applyAlignment="1">
      <alignment vertical="center"/>
    </xf>
    <xf numFmtId="177" fontId="36" fillId="0" borderId="71" xfId="0" applyNumberFormat="1" applyFont="1" applyBorder="1" applyAlignment="1">
      <alignment vertical="center"/>
    </xf>
    <xf numFmtId="177" fontId="32" fillId="0" borderId="116" xfId="0" applyNumberFormat="1" applyFont="1" applyBorder="1" applyAlignment="1">
      <alignment vertical="center"/>
    </xf>
    <xf numFmtId="177" fontId="32" fillId="0" borderId="119" xfId="0" applyNumberFormat="1" applyFont="1" applyBorder="1" applyAlignment="1">
      <alignment vertical="center"/>
    </xf>
    <xf numFmtId="3" fontId="39" fillId="0" borderId="0" xfId="0" applyNumberFormat="1" applyFont="1" applyAlignment="1">
      <alignment vertical="center"/>
    </xf>
    <xf numFmtId="177" fontId="32" fillId="0" borderId="117" xfId="0" applyNumberFormat="1" applyFont="1" applyBorder="1" applyAlignment="1">
      <alignment vertical="center"/>
    </xf>
    <xf numFmtId="3" fontId="7" fillId="0" borderId="0" xfId="0" applyNumberFormat="1" applyFont="1" applyAlignment="1">
      <alignment vertical="center"/>
    </xf>
    <xf numFmtId="0" fontId="43" fillId="0" borderId="0" xfId="0" applyFont="1" applyAlignment="1">
      <alignment vertical="center"/>
    </xf>
    <xf numFmtId="166" fontId="36" fillId="0" borderId="388" xfId="0" applyNumberFormat="1" applyFont="1" applyBorder="1" applyAlignment="1">
      <alignment vertical="center"/>
    </xf>
    <xf numFmtId="166" fontId="36" fillId="0" borderId="150" xfId="0" applyNumberFormat="1" applyFont="1" applyBorder="1" applyAlignment="1">
      <alignment vertical="center"/>
    </xf>
    <xf numFmtId="166" fontId="36" fillId="0" borderId="151" xfId="0" applyNumberFormat="1" applyFont="1" applyBorder="1" applyAlignment="1">
      <alignment vertical="center"/>
    </xf>
    <xf numFmtId="3" fontId="14" fillId="0" borderId="0" xfId="0" applyNumberFormat="1" applyFont="1" applyFill="1" applyAlignment="1">
      <alignment vertical="center"/>
    </xf>
    <xf numFmtId="3" fontId="7" fillId="0" borderId="0" xfId="0" applyNumberFormat="1" applyFont="1" applyFill="1" applyAlignment="1">
      <alignment vertical="center"/>
    </xf>
    <xf numFmtId="3" fontId="96" fillId="0" borderId="0" xfId="0" applyNumberFormat="1" applyFont="1" applyFill="1" applyAlignment="1">
      <alignment horizontal="center" vertical="center"/>
    </xf>
    <xf numFmtId="3" fontId="200" fillId="0" borderId="0" xfId="0" applyNumberFormat="1" applyFont="1" applyAlignment="1">
      <alignment horizontal="center" vertical="center"/>
    </xf>
    <xf numFmtId="3" fontId="8" fillId="0" borderId="0" xfId="0" applyNumberFormat="1" applyFont="1" applyFill="1" applyAlignment="1">
      <alignment vertical="center"/>
    </xf>
    <xf numFmtId="3" fontId="35" fillId="0" borderId="0" xfId="0" applyNumberFormat="1" applyFont="1" applyFill="1" applyBorder="1" applyAlignment="1" applyProtection="1">
      <alignment vertical="center" wrapText="1"/>
    </xf>
    <xf numFmtId="0" fontId="0" fillId="0" borderId="0" xfId="0" applyFont="1" applyFill="1" applyBorder="1" applyAlignment="1">
      <alignment vertical="center" wrapText="1"/>
    </xf>
    <xf numFmtId="177" fontId="37" fillId="0" borderId="85" xfId="0" applyNumberFormat="1" applyFont="1" applyFill="1" applyBorder="1" applyProtection="1"/>
    <xf numFmtId="174" fontId="120" fillId="0" borderId="241" xfId="0" applyNumberFormat="1" applyFont="1" applyFill="1" applyBorder="1" applyProtection="1"/>
    <xf numFmtId="174" fontId="120" fillId="0" borderId="86" xfId="0" applyNumberFormat="1" applyFont="1" applyFill="1" applyBorder="1" applyProtection="1"/>
    <xf numFmtId="174" fontId="120" fillId="0" borderId="83" xfId="0" applyNumberFormat="1" applyFont="1" applyFill="1" applyBorder="1" applyProtection="1"/>
    <xf numFmtId="174" fontId="120" fillId="0" borderId="168" xfId="0" applyNumberFormat="1" applyFont="1" applyFill="1" applyBorder="1" applyProtection="1"/>
    <xf numFmtId="174" fontId="138" fillId="0" borderId="85" xfId="0" applyNumberFormat="1" applyFont="1" applyFill="1" applyBorder="1" applyProtection="1"/>
    <xf numFmtId="174" fontId="37" fillId="0" borderId="86" xfId="0" applyNumberFormat="1" applyFont="1" applyFill="1" applyBorder="1" applyProtection="1"/>
    <xf numFmtId="174" fontId="138" fillId="0" borderId="86" xfId="0" applyNumberFormat="1" applyFont="1" applyFill="1" applyBorder="1" applyProtection="1"/>
    <xf numFmtId="174" fontId="138" fillId="0" borderId="83" xfId="0" applyNumberFormat="1" applyFont="1" applyFill="1" applyBorder="1" applyProtection="1"/>
    <xf numFmtId="174" fontId="138" fillId="0" borderId="163" xfId="0" applyNumberFormat="1" applyFont="1" applyFill="1" applyBorder="1" applyProtection="1"/>
    <xf numFmtId="0" fontId="197" fillId="18" borderId="5" xfId="0" applyFont="1" applyFill="1" applyBorder="1" applyAlignment="1">
      <alignment horizontal="center" vertical="center" wrapText="1"/>
    </xf>
    <xf numFmtId="8" fontId="196" fillId="18" borderId="5" xfId="0" applyNumberFormat="1" applyFont="1" applyFill="1" applyBorder="1" applyAlignment="1" applyProtection="1">
      <alignment horizontal="center" vertical="center" wrapText="1"/>
    </xf>
    <xf numFmtId="0" fontId="36" fillId="19" borderId="79" xfId="0" applyFont="1" applyFill="1" applyBorder="1" applyAlignment="1" applyProtection="1">
      <alignment horizontal="left"/>
      <protection locked="0"/>
    </xf>
    <xf numFmtId="0" fontId="36" fillId="19" borderId="111" xfId="0" applyFont="1" applyFill="1" applyBorder="1" applyAlignment="1" applyProtection="1">
      <alignment horizontal="left"/>
      <protection locked="0"/>
    </xf>
    <xf numFmtId="0" fontId="36" fillId="19" borderId="103" xfId="0" applyFont="1" applyFill="1" applyBorder="1" applyAlignment="1" applyProtection="1">
      <alignment horizontal="left"/>
      <protection locked="0"/>
    </xf>
    <xf numFmtId="0" fontId="36" fillId="19" borderId="105" xfId="0" applyFont="1" applyFill="1" applyBorder="1" applyAlignment="1" applyProtection="1">
      <alignment horizontal="left"/>
      <protection locked="0"/>
    </xf>
    <xf numFmtId="0" fontId="36" fillId="19" borderId="197" xfId="0" applyFont="1" applyFill="1" applyBorder="1" applyAlignment="1" applyProtection="1">
      <alignment horizontal="left"/>
      <protection locked="0"/>
    </xf>
    <xf numFmtId="0" fontId="36" fillId="19" borderId="78" xfId="0" applyFont="1" applyFill="1" applyBorder="1" applyAlignment="1" applyProtection="1">
      <alignment horizontal="left"/>
      <protection locked="0"/>
    </xf>
    <xf numFmtId="0" fontId="36" fillId="19" borderId="109" xfId="0" applyFont="1" applyFill="1" applyBorder="1" applyAlignment="1" applyProtection="1">
      <alignment horizontal="left"/>
      <protection locked="0"/>
    </xf>
    <xf numFmtId="0" fontId="36" fillId="19" borderId="112" xfId="0" applyFont="1" applyFill="1" applyBorder="1" applyAlignment="1" applyProtection="1">
      <alignment horizontal="left"/>
      <protection locked="0"/>
    </xf>
    <xf numFmtId="177" fontId="36" fillId="19" borderId="79" xfId="0" applyNumberFormat="1" applyFont="1" applyFill="1" applyBorder="1" applyAlignment="1" applyProtection="1">
      <alignment horizontal="center"/>
      <protection locked="0"/>
    </xf>
    <xf numFmtId="9" fontId="36" fillId="19" borderId="102" xfId="0" applyNumberFormat="1" applyFont="1" applyFill="1" applyBorder="1" applyAlignment="1" applyProtection="1">
      <alignment horizontal="center"/>
      <protection locked="0"/>
    </xf>
    <xf numFmtId="177" fontId="36" fillId="19" borderId="103" xfId="0" applyNumberFormat="1" applyFont="1" applyFill="1" applyBorder="1" applyAlignment="1" applyProtection="1">
      <alignment horizontal="center"/>
      <protection locked="0"/>
    </xf>
    <xf numFmtId="9" fontId="36" fillId="19" borderId="106" xfId="0" applyNumberFormat="1" applyFont="1" applyFill="1" applyBorder="1" applyAlignment="1" applyProtection="1">
      <alignment horizontal="center"/>
      <protection locked="0"/>
    </xf>
    <xf numFmtId="177" fontId="36" fillId="19" borderId="197" xfId="0" applyNumberFormat="1" applyFont="1" applyFill="1" applyBorder="1" applyAlignment="1" applyProtection="1">
      <alignment horizontal="center"/>
      <protection locked="0"/>
    </xf>
    <xf numFmtId="9" fontId="36" fillId="19" borderId="222" xfId="0" applyNumberFormat="1" applyFont="1" applyFill="1" applyBorder="1" applyAlignment="1" applyProtection="1">
      <alignment horizontal="center"/>
      <protection locked="0"/>
    </xf>
    <xf numFmtId="177" fontId="36" fillId="19" borderId="109" xfId="0" applyNumberFormat="1" applyFont="1" applyFill="1" applyBorder="1" applyAlignment="1" applyProtection="1">
      <alignment horizontal="center"/>
      <protection locked="0"/>
    </xf>
    <xf numFmtId="9" fontId="36" fillId="19" borderId="108" xfId="0" applyNumberFormat="1" applyFont="1" applyFill="1" applyBorder="1" applyAlignment="1" applyProtection="1">
      <alignment horizontal="center"/>
      <protection locked="0"/>
    </xf>
    <xf numFmtId="9" fontId="36" fillId="19" borderId="79" xfId="0" applyNumberFormat="1" applyFont="1" applyFill="1" applyBorder="1" applyAlignment="1" applyProtection="1">
      <alignment horizontal="center"/>
      <protection locked="0"/>
    </xf>
    <xf numFmtId="9" fontId="36" fillId="19" borderId="103" xfId="0" applyNumberFormat="1" applyFont="1" applyFill="1" applyBorder="1" applyAlignment="1" applyProtection="1">
      <alignment horizontal="center"/>
      <protection locked="0"/>
    </xf>
    <xf numFmtId="9" fontId="36" fillId="19" borderId="197" xfId="0" applyNumberFormat="1" applyFont="1" applyFill="1" applyBorder="1" applyAlignment="1" applyProtection="1">
      <alignment horizontal="center"/>
      <protection locked="0"/>
    </xf>
    <xf numFmtId="9" fontId="36" fillId="19" borderId="109" xfId="0" applyNumberFormat="1" applyFont="1" applyFill="1" applyBorder="1" applyAlignment="1" applyProtection="1">
      <alignment horizontal="center"/>
      <protection locked="0"/>
    </xf>
    <xf numFmtId="174" fontId="36" fillId="20" borderId="383" xfId="0" applyNumberFormat="1" applyFont="1" applyFill="1" applyBorder="1" applyProtection="1">
      <protection locked="0"/>
    </xf>
    <xf numFmtId="174" fontId="36" fillId="20" borderId="270" xfId="0" applyNumberFormat="1" applyFont="1" applyFill="1" applyBorder="1" applyProtection="1">
      <protection locked="0"/>
    </xf>
    <xf numFmtId="174" fontId="36" fillId="20" borderId="271" xfId="0" applyNumberFormat="1" applyFont="1" applyFill="1" applyBorder="1" applyProtection="1">
      <protection locked="0"/>
    </xf>
    <xf numFmtId="174" fontId="36" fillId="20" borderId="162" xfId="0" applyNumberFormat="1" applyFont="1" applyFill="1" applyBorder="1" applyProtection="1">
      <protection locked="0"/>
    </xf>
    <xf numFmtId="166" fontId="37" fillId="19" borderId="386" xfId="0" applyNumberFormat="1" applyFont="1" applyFill="1" applyBorder="1" applyAlignment="1" applyProtection="1">
      <alignment horizontal="center"/>
      <protection locked="0"/>
    </xf>
    <xf numFmtId="166" fontId="37" fillId="19" borderId="387" xfId="0" applyNumberFormat="1" applyFont="1" applyFill="1" applyBorder="1" applyAlignment="1" applyProtection="1">
      <alignment horizontal="center"/>
      <protection locked="0"/>
    </xf>
    <xf numFmtId="174" fontId="36" fillId="19" borderId="0" xfId="0" applyNumberFormat="1" applyFont="1" applyFill="1" applyBorder="1" applyAlignment="1" applyProtection="1">
      <alignment horizontal="right"/>
      <protection locked="0"/>
    </xf>
    <xf numFmtId="174" fontId="36" fillId="19" borderId="77" xfId="0" applyNumberFormat="1" applyFont="1" applyFill="1" applyBorder="1" applyAlignment="1" applyProtection="1">
      <alignment horizontal="right"/>
      <protection locked="0"/>
    </xf>
    <xf numFmtId="0" fontId="229" fillId="17" borderId="218" xfId="0" quotePrefix="1" applyFont="1" applyFill="1" applyBorder="1" applyAlignment="1">
      <alignment horizontal="center" vertical="center" wrapText="1"/>
    </xf>
    <xf numFmtId="0" fontId="229" fillId="17" borderId="5" xfId="0" quotePrefix="1" applyFont="1" applyFill="1" applyBorder="1" applyAlignment="1">
      <alignment horizontal="center" vertical="center" wrapText="1"/>
    </xf>
    <xf numFmtId="3" fontId="32" fillId="21" borderId="246" xfId="0" applyNumberFormat="1" applyFont="1" applyFill="1" applyBorder="1" applyAlignment="1" applyProtection="1">
      <alignment horizontal="center" vertical="center"/>
    </xf>
    <xf numFmtId="3" fontId="91" fillId="21" borderId="234" xfId="0" applyNumberFormat="1" applyFont="1" applyFill="1" applyBorder="1" applyAlignment="1" applyProtection="1">
      <alignment horizontal="center" vertical="center" wrapText="1"/>
    </xf>
    <xf numFmtId="0" fontId="37" fillId="21" borderId="153" xfId="0" applyFont="1" applyFill="1" applyBorder="1" applyAlignment="1">
      <alignment vertical="center"/>
    </xf>
    <xf numFmtId="3" fontId="32" fillId="21" borderId="144" xfId="0" applyNumberFormat="1" applyFont="1" applyFill="1" applyBorder="1" applyAlignment="1" applyProtection="1">
      <alignment horizontal="center" vertical="center"/>
    </xf>
    <xf numFmtId="3" fontId="32" fillId="21" borderId="152" xfId="0" applyNumberFormat="1" applyFont="1" applyFill="1" applyBorder="1" applyAlignment="1">
      <alignment horizontal="center" vertical="center"/>
    </xf>
    <xf numFmtId="3" fontId="32" fillId="18" borderId="54" xfId="0" applyNumberFormat="1" applyFont="1" applyFill="1" applyBorder="1" applyAlignment="1" applyProtection="1">
      <alignment vertical="center"/>
    </xf>
    <xf numFmtId="3" fontId="32" fillId="18" borderId="256" xfId="0" applyNumberFormat="1" applyFont="1" applyFill="1" applyBorder="1" applyAlignment="1" applyProtection="1">
      <alignment vertical="center"/>
    </xf>
    <xf numFmtId="3" fontId="32" fillId="18" borderId="373" xfId="0" applyNumberFormat="1" applyFont="1" applyFill="1" applyBorder="1" applyAlignment="1" applyProtection="1">
      <alignment vertical="center"/>
    </xf>
    <xf numFmtId="166" fontId="37" fillId="19" borderId="113" xfId="0" applyNumberFormat="1" applyFont="1" applyFill="1" applyBorder="1" applyAlignment="1" applyProtection="1">
      <alignment horizontal="center"/>
      <protection locked="0"/>
    </xf>
    <xf numFmtId="166" fontId="37" fillId="19" borderId="114" xfId="0" applyNumberFormat="1" applyFont="1" applyFill="1" applyBorder="1" applyAlignment="1" applyProtection="1">
      <alignment horizontal="center"/>
      <protection locked="0"/>
    </xf>
    <xf numFmtId="166" fontId="37" fillId="19" borderId="115" xfId="0" applyNumberFormat="1" applyFont="1" applyFill="1" applyBorder="1" applyAlignment="1" applyProtection="1">
      <alignment horizontal="center"/>
      <protection locked="0"/>
    </xf>
    <xf numFmtId="174" fontId="36" fillId="19" borderId="134" xfId="0" applyNumberFormat="1" applyFont="1" applyFill="1" applyBorder="1" applyAlignment="1" applyProtection="1">
      <alignment horizontal="right"/>
      <protection locked="0"/>
    </xf>
    <xf numFmtId="174" fontId="36" fillId="19" borderId="11" xfId="0" applyNumberFormat="1" applyFont="1" applyFill="1" applyBorder="1" applyAlignment="1" applyProtection="1">
      <alignment horizontal="right"/>
      <protection locked="0"/>
    </xf>
    <xf numFmtId="3" fontId="32" fillId="21" borderId="219" xfId="0" applyNumberFormat="1" applyFont="1" applyFill="1" applyBorder="1" applyAlignment="1" applyProtection="1">
      <alignment horizontal="center" vertical="center"/>
    </xf>
    <xf numFmtId="3" fontId="32" fillId="21" borderId="152" xfId="0" applyNumberFormat="1" applyFont="1" applyFill="1" applyBorder="1" applyAlignment="1" applyProtection="1">
      <alignment horizontal="center" vertical="center"/>
    </xf>
    <xf numFmtId="3" fontId="32" fillId="21" borderId="242" xfId="0" applyNumberFormat="1" applyFont="1" applyFill="1" applyBorder="1" applyAlignment="1" applyProtection="1">
      <alignment horizontal="center" vertical="center"/>
    </xf>
    <xf numFmtId="168" fontId="32" fillId="21" borderId="242" xfId="0" applyNumberFormat="1" applyFont="1" applyFill="1" applyBorder="1" applyAlignment="1" applyProtection="1">
      <alignment horizontal="center" vertical="center"/>
    </xf>
    <xf numFmtId="168" fontId="32" fillId="21" borderId="220" xfId="0" applyNumberFormat="1" applyFont="1" applyFill="1" applyBorder="1" applyAlignment="1" applyProtection="1">
      <alignment horizontal="center" vertical="center"/>
    </xf>
    <xf numFmtId="168" fontId="32" fillId="21" borderId="228" xfId="0" applyNumberFormat="1" applyFont="1" applyFill="1" applyBorder="1" applyAlignment="1" applyProtection="1">
      <alignment horizontal="center" vertical="center"/>
    </xf>
    <xf numFmtId="168" fontId="32" fillId="21" borderId="153" xfId="0" applyNumberFormat="1" applyFont="1" applyFill="1" applyBorder="1" applyAlignment="1" applyProtection="1">
      <alignment horizontal="center" vertical="center"/>
    </xf>
    <xf numFmtId="3" fontId="32" fillId="21" borderId="154" xfId="0" applyNumberFormat="1" applyFont="1" applyFill="1" applyBorder="1" applyAlignment="1">
      <alignment vertical="center"/>
    </xf>
    <xf numFmtId="3" fontId="32" fillId="21" borderId="155" xfId="0" applyNumberFormat="1" applyFont="1" applyFill="1" applyBorder="1" applyAlignment="1">
      <alignment horizontal="center" vertical="center"/>
    </xf>
    <xf numFmtId="3" fontId="32" fillId="21" borderId="144" xfId="0" applyNumberFormat="1" applyFont="1" applyFill="1" applyBorder="1" applyAlignment="1">
      <alignment horizontal="center" vertical="center"/>
    </xf>
    <xf numFmtId="3" fontId="32" fillId="21" borderId="385" xfId="0" applyNumberFormat="1" applyFont="1" applyFill="1" applyBorder="1" applyAlignment="1">
      <alignment horizontal="center" vertical="center"/>
    </xf>
    <xf numFmtId="3" fontId="32" fillId="21" borderId="6" xfId="0" applyNumberFormat="1" applyFont="1" applyFill="1" applyBorder="1" applyAlignment="1">
      <alignment horizontal="center" vertical="center" wrapText="1"/>
    </xf>
    <xf numFmtId="3" fontId="8" fillId="17" borderId="0" xfId="0" applyNumberFormat="1" applyFont="1" applyFill="1" applyBorder="1"/>
    <xf numFmtId="3" fontId="7" fillId="17" borderId="0" xfId="0" applyNumberFormat="1" applyFont="1" applyFill="1" applyBorder="1" applyAlignment="1">
      <alignment horizontal="center" vertical="center"/>
    </xf>
    <xf numFmtId="3" fontId="8" fillId="17" borderId="0" xfId="0" applyNumberFormat="1" applyFont="1" applyFill="1" applyBorder="1" applyAlignment="1">
      <alignment horizontal="right"/>
    </xf>
    <xf numFmtId="166" fontId="8" fillId="17" borderId="0" xfId="5" applyNumberFormat="1" applyFont="1" applyFill="1" applyBorder="1"/>
    <xf numFmtId="3" fontId="206" fillId="17" borderId="0" xfId="0" applyNumberFormat="1" applyFont="1" applyFill="1" applyBorder="1"/>
    <xf numFmtId="3" fontId="43" fillId="17" borderId="0" xfId="0" applyNumberFormat="1" applyFont="1" applyFill="1" applyBorder="1"/>
    <xf numFmtId="3" fontId="43" fillId="17" borderId="0" xfId="0" applyNumberFormat="1" applyFont="1" applyFill="1" applyBorder="1" applyAlignment="1">
      <alignment vertical="center"/>
    </xf>
    <xf numFmtId="0" fontId="43" fillId="17" borderId="0" xfId="0" applyFont="1" applyFill="1" applyBorder="1"/>
    <xf numFmtId="3" fontId="43" fillId="17" borderId="0" xfId="0" applyNumberFormat="1" applyFont="1" applyFill="1" applyBorder="1" applyAlignment="1">
      <alignment vertical="center" wrapText="1"/>
    </xf>
    <xf numFmtId="3" fontId="7" fillId="17" borderId="0" xfId="0" applyNumberFormat="1" applyFont="1" applyFill="1"/>
    <xf numFmtId="3" fontId="7" fillId="17" borderId="0" xfId="0" applyNumberFormat="1" applyFont="1" applyFill="1" applyAlignment="1">
      <alignment horizontal="center"/>
    </xf>
    <xf numFmtId="3" fontId="8" fillId="17" borderId="0" xfId="0" applyNumberFormat="1" applyFont="1" applyFill="1"/>
    <xf numFmtId="177" fontId="36" fillId="19" borderId="226" xfId="0" applyNumberFormat="1" applyFont="1" applyFill="1" applyBorder="1" applyProtection="1">
      <protection locked="0"/>
    </xf>
    <xf numFmtId="177" fontId="36" fillId="19" borderId="162" xfId="0" applyNumberFormat="1" applyFont="1" applyFill="1" applyBorder="1" applyProtection="1">
      <protection locked="0"/>
    </xf>
    <xf numFmtId="177" fontId="36" fillId="19" borderId="137" xfId="0" applyNumberFormat="1" applyFont="1" applyFill="1" applyBorder="1" applyProtection="1">
      <protection locked="0"/>
    </xf>
    <xf numFmtId="0" fontId="0" fillId="0" borderId="434" xfId="0" applyBorder="1"/>
    <xf numFmtId="0" fontId="0" fillId="0" borderId="121" xfId="0" applyBorder="1"/>
    <xf numFmtId="0" fontId="0" fillId="19" borderId="0" xfId="0" applyFill="1"/>
    <xf numFmtId="177" fontId="36" fillId="19" borderId="433" xfId="0" applyNumberFormat="1" applyFont="1" applyFill="1" applyBorder="1" applyProtection="1">
      <protection locked="0"/>
    </xf>
    <xf numFmtId="174" fontId="37" fillId="0" borderId="13" xfId="0" applyNumberFormat="1" applyFont="1" applyFill="1" applyBorder="1" applyProtection="1"/>
    <xf numFmtId="174" fontId="37" fillId="0" borderId="36" xfId="0" applyNumberFormat="1" applyFont="1" applyFill="1" applyBorder="1" applyProtection="1"/>
    <xf numFmtId="174" fontId="37" fillId="0" borderId="293" xfId="0" applyNumberFormat="1" applyFont="1" applyFill="1" applyBorder="1" applyProtection="1"/>
    <xf numFmtId="168" fontId="32" fillId="12" borderId="242" xfId="0" applyNumberFormat="1" applyFont="1" applyFill="1" applyBorder="1" applyAlignment="1" applyProtection="1">
      <alignment horizontal="center" vertical="center"/>
    </xf>
    <xf numFmtId="168" fontId="32" fillId="12" borderId="228" xfId="0" applyNumberFormat="1" applyFont="1" applyFill="1" applyBorder="1" applyAlignment="1" applyProtection="1">
      <alignment horizontal="center" vertical="center"/>
    </xf>
    <xf numFmtId="3" fontId="32" fillId="21" borderId="154" xfId="0" applyNumberFormat="1" applyFont="1" applyFill="1" applyBorder="1" applyAlignment="1" applyProtection="1">
      <alignment horizontal="left" vertical="center"/>
    </xf>
    <xf numFmtId="168" fontId="32" fillId="21" borderId="229" xfId="0" applyNumberFormat="1" applyFont="1" applyFill="1" applyBorder="1" applyAlignment="1" applyProtection="1">
      <alignment horizontal="center" vertical="center"/>
    </xf>
    <xf numFmtId="168" fontId="32" fillId="21" borderId="24" xfId="0" applyNumberFormat="1" applyFont="1" applyFill="1" applyBorder="1" applyAlignment="1" applyProtection="1">
      <alignment horizontal="center" vertical="center"/>
    </xf>
    <xf numFmtId="168" fontId="32" fillId="21" borderId="221" xfId="0" applyNumberFormat="1" applyFont="1" applyFill="1" applyBorder="1" applyAlignment="1" applyProtection="1">
      <alignment horizontal="center" vertical="center"/>
    </xf>
    <xf numFmtId="3" fontId="32" fillId="18" borderId="373" xfId="0" applyNumberFormat="1" applyFont="1" applyFill="1" applyBorder="1"/>
    <xf numFmtId="3" fontId="32" fillId="21" borderId="153" xfId="0" applyNumberFormat="1" applyFont="1" applyFill="1" applyBorder="1" applyAlignment="1">
      <alignment horizontal="center" vertical="center"/>
    </xf>
    <xf numFmtId="3" fontId="32" fillId="21" borderId="246" xfId="0" applyNumberFormat="1" applyFont="1" applyFill="1" applyBorder="1" applyAlignment="1">
      <alignment horizontal="center" vertical="center"/>
    </xf>
    <xf numFmtId="3" fontId="32" fillId="21" borderId="117" xfId="0" applyNumberFormat="1" applyFont="1" applyFill="1" applyBorder="1" applyAlignment="1">
      <alignment horizontal="center" vertical="center"/>
    </xf>
    <xf numFmtId="3" fontId="32" fillId="21" borderId="119" xfId="0" applyNumberFormat="1" applyFont="1" applyFill="1" applyBorder="1" applyAlignment="1">
      <alignment horizontal="center" vertical="center"/>
    </xf>
    <xf numFmtId="166" fontId="32" fillId="19" borderId="35" xfId="5" applyNumberFormat="1" applyFont="1" applyFill="1" applyBorder="1" applyAlignment="1" applyProtection="1">
      <alignment horizontal="center" vertical="center"/>
      <protection locked="0"/>
    </xf>
    <xf numFmtId="3" fontId="32" fillId="21" borderId="234" xfId="0" applyNumberFormat="1" applyFont="1" applyFill="1" applyBorder="1" applyAlignment="1">
      <alignment horizontal="center" vertical="center"/>
    </xf>
    <xf numFmtId="168" fontId="32" fillId="21" borderId="219" xfId="0" applyNumberFormat="1" applyFont="1" applyFill="1" applyBorder="1" applyAlignment="1" applyProtection="1">
      <alignment horizontal="center" vertical="center"/>
    </xf>
    <xf numFmtId="168" fontId="32" fillId="21" borderId="152" xfId="0" applyNumberFormat="1" applyFont="1" applyFill="1" applyBorder="1" applyAlignment="1" applyProtection="1">
      <alignment horizontal="center" vertical="center"/>
    </xf>
    <xf numFmtId="166" fontId="32" fillId="19" borderId="145" xfId="5" applyNumberFormat="1" applyFont="1" applyFill="1" applyBorder="1" applyAlignment="1" applyProtection="1">
      <alignment horizontal="center" vertical="center"/>
      <protection locked="0"/>
    </xf>
    <xf numFmtId="166" fontId="32" fillId="19" borderId="160" xfId="5" applyNumberFormat="1" applyFont="1" applyFill="1" applyBorder="1" applyAlignment="1" applyProtection="1">
      <alignment horizontal="center" vertical="center"/>
      <protection locked="0"/>
    </xf>
    <xf numFmtId="3" fontId="192" fillId="18" borderId="216" xfId="0" applyNumberFormat="1" applyFont="1" applyFill="1" applyBorder="1" applyAlignment="1">
      <alignment horizontal="center" vertical="center" wrapText="1"/>
    </xf>
    <xf numFmtId="3" fontId="35" fillId="18" borderId="216" xfId="0" applyNumberFormat="1" applyFont="1" applyFill="1" applyBorder="1" applyAlignment="1">
      <alignment horizontal="center" vertical="center" wrapText="1"/>
    </xf>
    <xf numFmtId="3" fontId="35" fillId="18" borderId="20" xfId="0" applyNumberFormat="1" applyFont="1" applyFill="1" applyBorder="1" applyAlignment="1">
      <alignment horizontal="center" vertical="center" wrapText="1"/>
    </xf>
    <xf numFmtId="3" fontId="35" fillId="18" borderId="152" xfId="0" applyNumberFormat="1" applyFont="1" applyFill="1" applyBorder="1" applyAlignment="1">
      <alignment horizontal="center" vertical="center" wrapText="1"/>
    </xf>
    <xf numFmtId="3" fontId="32" fillId="19" borderId="158" xfId="0" applyNumberFormat="1" applyFont="1" applyFill="1" applyBorder="1" applyProtection="1">
      <protection locked="0"/>
    </xf>
    <xf numFmtId="177" fontId="36" fillId="19" borderId="172" xfId="0" applyNumberFormat="1" applyFont="1" applyFill="1" applyBorder="1" applyAlignment="1" applyProtection="1">
      <alignment horizontal="right" vertical="center"/>
      <protection locked="0"/>
    </xf>
    <xf numFmtId="177" fontId="36" fillId="19" borderId="79" xfId="0" applyNumberFormat="1" applyFont="1" applyFill="1" applyBorder="1" applyAlignment="1" applyProtection="1">
      <alignment horizontal="right" vertical="center"/>
      <protection locked="0"/>
    </xf>
    <xf numFmtId="177" fontId="36" fillId="19" borderId="103" xfId="0" applyNumberFormat="1" applyFont="1" applyFill="1" applyBorder="1" applyAlignment="1" applyProtection="1">
      <alignment horizontal="right" vertical="center"/>
      <protection locked="0"/>
    </xf>
    <xf numFmtId="3" fontId="32" fillId="19" borderId="217" xfId="0" applyNumberFormat="1" applyFont="1" applyFill="1" applyBorder="1" applyProtection="1">
      <protection locked="0"/>
    </xf>
    <xf numFmtId="166" fontId="130" fillId="19" borderId="172" xfId="5" applyNumberFormat="1" applyFont="1" applyFill="1" applyBorder="1" applyAlignment="1" applyProtection="1">
      <alignment horizontal="right"/>
      <protection locked="0"/>
    </xf>
    <xf numFmtId="177" fontId="130" fillId="19" borderId="172" xfId="5" applyNumberFormat="1" applyFont="1" applyFill="1" applyBorder="1" applyAlignment="1" applyProtection="1">
      <alignment horizontal="right"/>
    </xf>
    <xf numFmtId="166" fontId="36" fillId="19" borderId="172" xfId="0" applyNumberFormat="1" applyFont="1" applyFill="1" applyBorder="1" applyAlignment="1" applyProtection="1">
      <alignment horizontal="right" vertical="center"/>
      <protection locked="0"/>
    </xf>
    <xf numFmtId="3" fontId="32" fillId="19" borderId="160" xfId="0" applyNumberFormat="1" applyFont="1" applyFill="1" applyBorder="1" applyProtection="1">
      <protection locked="0"/>
    </xf>
    <xf numFmtId="166" fontId="36" fillId="19" borderId="103" xfId="0" applyNumberFormat="1" applyFont="1" applyFill="1" applyBorder="1" applyAlignment="1" applyProtection="1">
      <alignment horizontal="right" vertical="center"/>
      <protection locked="0"/>
    </xf>
    <xf numFmtId="178" fontId="36" fillId="19" borderId="130" xfId="0" applyNumberFormat="1" applyFont="1" applyFill="1" applyBorder="1" applyAlignment="1" applyProtection="1">
      <alignment horizontal="center" vertical="center"/>
      <protection locked="0"/>
    </xf>
    <xf numFmtId="178" fontId="36" fillId="19" borderId="120" xfId="0" applyNumberFormat="1" applyFont="1" applyFill="1" applyBorder="1" applyAlignment="1" applyProtection="1">
      <alignment horizontal="center" vertical="center"/>
      <protection locked="0"/>
    </xf>
    <xf numFmtId="178" fontId="36" fillId="19" borderId="83" xfId="0" applyNumberFormat="1" applyFont="1" applyFill="1" applyBorder="1" applyAlignment="1" applyProtection="1">
      <alignment horizontal="center" vertical="center"/>
      <protection locked="0"/>
    </xf>
    <xf numFmtId="178" fontId="36" fillId="19" borderId="255" xfId="0" applyNumberFormat="1" applyFont="1" applyFill="1" applyBorder="1" applyAlignment="1" applyProtection="1">
      <alignment horizontal="center" vertical="center"/>
      <protection locked="0"/>
    </xf>
    <xf numFmtId="3" fontId="35" fillId="18" borderId="125" xfId="0" applyNumberFormat="1" applyFont="1" applyFill="1" applyBorder="1" applyAlignment="1">
      <alignment horizontal="center" vertical="center" wrapText="1"/>
    </xf>
    <xf numFmtId="3" fontId="35" fillId="18" borderId="189" xfId="0" applyNumberFormat="1" applyFont="1" applyFill="1" applyBorder="1" applyAlignment="1">
      <alignment horizontal="center" vertical="center" wrapText="1"/>
    </xf>
    <xf numFmtId="3" fontId="35" fillId="17" borderId="0" xfId="0" applyNumberFormat="1" applyFont="1" applyFill="1" applyBorder="1"/>
    <xf numFmtId="3" fontId="32" fillId="17" borderId="0" xfId="0" applyNumberFormat="1" applyFont="1" applyFill="1" applyBorder="1" applyAlignment="1" applyProtection="1">
      <alignment horizontal="center"/>
    </xf>
    <xf numFmtId="3" fontId="35" fillId="17" borderId="0" xfId="0" applyNumberFormat="1" applyFont="1" applyFill="1" applyBorder="1" applyAlignment="1">
      <alignment horizontal="center" vertical="center" wrapText="1"/>
    </xf>
    <xf numFmtId="177" fontId="36" fillId="17" borderId="0" xfId="0" applyNumberFormat="1" applyFont="1" applyFill="1" applyBorder="1" applyAlignment="1">
      <alignment horizontal="right" vertical="center"/>
    </xf>
    <xf numFmtId="177" fontId="32" fillId="17" borderId="0" xfId="0" applyNumberFormat="1" applyFont="1" applyFill="1" applyBorder="1" applyAlignment="1" applyProtection="1">
      <alignment horizontal="right" vertical="center"/>
    </xf>
    <xf numFmtId="166" fontId="36" fillId="18" borderId="218" xfId="0" applyNumberFormat="1" applyFont="1" applyFill="1" applyBorder="1" applyAlignment="1" applyProtection="1">
      <alignment horizontal="right" vertical="center"/>
    </xf>
    <xf numFmtId="166" fontId="36" fillId="18" borderId="80" xfId="0" applyNumberFormat="1" applyFont="1" applyFill="1" applyBorder="1" applyAlignment="1" applyProtection="1">
      <alignment horizontal="right" vertical="center"/>
    </xf>
    <xf numFmtId="166" fontId="36" fillId="18" borderId="172" xfId="0" applyNumberFormat="1" applyFont="1" applyFill="1" applyBorder="1" applyAlignment="1" applyProtection="1">
      <alignment horizontal="right" vertical="center"/>
    </xf>
    <xf numFmtId="3" fontId="32" fillId="23" borderId="193" xfId="0" applyNumberFormat="1" applyFont="1" applyFill="1" applyBorder="1" applyProtection="1"/>
    <xf numFmtId="177" fontId="32" fillId="23" borderId="109" xfId="0" applyNumberFormat="1" applyFont="1" applyFill="1" applyBorder="1" applyAlignment="1" applyProtection="1">
      <alignment horizontal="right" vertical="center"/>
    </xf>
    <xf numFmtId="166" fontId="193" fillId="23" borderId="109" xfId="5" applyNumberFormat="1" applyFont="1" applyFill="1" applyBorder="1" applyAlignment="1" applyProtection="1">
      <alignment horizontal="right"/>
    </xf>
    <xf numFmtId="177" fontId="193" fillId="23" borderId="109" xfId="5" applyNumberFormat="1" applyFont="1" applyFill="1" applyBorder="1" applyAlignment="1" applyProtection="1">
      <alignment horizontal="right"/>
    </xf>
    <xf numFmtId="166" fontId="32" fillId="23" borderId="109" xfId="0" applyNumberFormat="1" applyFont="1" applyFill="1" applyBorder="1" applyAlignment="1" applyProtection="1">
      <alignment horizontal="right" vertical="center"/>
    </xf>
    <xf numFmtId="177" fontId="32" fillId="23" borderId="194" xfId="0" applyNumberFormat="1" applyFont="1" applyFill="1" applyBorder="1" applyAlignment="1" applyProtection="1">
      <alignment horizontal="right" vertical="center"/>
    </xf>
    <xf numFmtId="3" fontId="32" fillId="23" borderId="161" xfId="0" applyNumberFormat="1" applyFont="1" applyFill="1" applyBorder="1" applyProtection="1"/>
    <xf numFmtId="177" fontId="32" fillId="23" borderId="80" xfId="0" applyNumberFormat="1" applyFont="1" applyFill="1" applyBorder="1" applyAlignment="1" applyProtection="1">
      <alignment horizontal="right" vertical="center"/>
    </xf>
    <xf numFmtId="166" fontId="193" fillId="23" borderId="80" xfId="5" applyNumberFormat="1" applyFont="1" applyFill="1" applyBorder="1" applyAlignment="1" applyProtection="1">
      <alignment horizontal="right"/>
    </xf>
    <xf numFmtId="177" fontId="193" fillId="23" borderId="80" xfId="5" applyNumberFormat="1" applyFont="1" applyFill="1" applyBorder="1" applyAlignment="1" applyProtection="1">
      <alignment horizontal="right"/>
    </xf>
    <xf numFmtId="166" fontId="36" fillId="23" borderId="80" xfId="0" applyNumberFormat="1" applyFont="1" applyFill="1" applyBorder="1" applyAlignment="1" applyProtection="1">
      <alignment horizontal="right" vertical="center"/>
    </xf>
    <xf numFmtId="177" fontId="32" fillId="23" borderId="197" xfId="0" applyNumberFormat="1" applyFont="1" applyFill="1" applyBorder="1" applyAlignment="1" applyProtection="1">
      <alignment horizontal="right" vertical="center"/>
    </xf>
    <xf numFmtId="177" fontId="32" fillId="23" borderId="142" xfId="0" applyNumberFormat="1" applyFont="1" applyFill="1" applyBorder="1" applyAlignment="1" applyProtection="1">
      <alignment horizontal="right" vertical="center"/>
    </xf>
    <xf numFmtId="177" fontId="32" fillId="0" borderId="199" xfId="0" applyNumberFormat="1" applyFont="1" applyFill="1" applyBorder="1" applyAlignment="1" applyProtection="1">
      <alignment horizontal="right" vertical="center"/>
    </xf>
    <xf numFmtId="177" fontId="32" fillId="0" borderId="117" xfId="0" applyNumberFormat="1" applyFont="1" applyFill="1" applyBorder="1" applyAlignment="1" applyProtection="1">
      <alignment horizontal="right" vertical="center"/>
    </xf>
    <xf numFmtId="166" fontId="32" fillId="23" borderId="195" xfId="5" applyNumberFormat="1" applyFont="1" applyFill="1" applyBorder="1" applyAlignment="1" applyProtection="1">
      <alignment horizontal="right" vertical="center"/>
    </xf>
    <xf numFmtId="166" fontId="32" fillId="23" borderId="196" xfId="0" applyNumberFormat="1" applyFont="1" applyFill="1" applyBorder="1" applyAlignment="1" applyProtection="1">
      <alignment horizontal="right" vertical="center"/>
    </xf>
    <xf numFmtId="177" fontId="32" fillId="23" borderId="196" xfId="0" applyNumberFormat="1" applyFont="1" applyFill="1" applyBorder="1" applyAlignment="1" applyProtection="1">
      <alignment horizontal="right" vertical="center"/>
    </xf>
    <xf numFmtId="166" fontId="32" fillId="23" borderId="291" xfId="5" applyNumberFormat="1" applyFont="1" applyFill="1" applyBorder="1" applyAlignment="1" applyProtection="1">
      <alignment horizontal="right" vertical="center"/>
    </xf>
    <xf numFmtId="166" fontId="32" fillId="23" borderId="197" xfId="0" applyNumberFormat="1" applyFont="1" applyFill="1" applyBorder="1" applyAlignment="1" applyProtection="1">
      <alignment horizontal="right" vertical="center"/>
    </xf>
    <xf numFmtId="177" fontId="32" fillId="23" borderId="188" xfId="0" applyNumberFormat="1" applyFont="1" applyFill="1" applyBorder="1" applyAlignment="1" applyProtection="1">
      <alignment horizontal="right" vertical="center"/>
    </xf>
    <xf numFmtId="177" fontId="32" fillId="23" borderId="198" xfId="0" applyNumberFormat="1" applyFont="1" applyFill="1" applyBorder="1" applyAlignment="1" applyProtection="1">
      <alignment horizontal="right" vertical="center"/>
    </xf>
    <xf numFmtId="166" fontId="32" fillId="23" borderId="76" xfId="0" applyNumberFormat="1" applyFont="1" applyFill="1" applyBorder="1" applyAlignment="1" applyProtection="1">
      <alignment horizontal="right" vertical="center"/>
    </xf>
    <xf numFmtId="177" fontId="32" fillId="23" borderId="76" xfId="0" applyNumberFormat="1" applyFont="1" applyFill="1" applyBorder="1" applyAlignment="1" applyProtection="1">
      <alignment horizontal="right" vertical="center"/>
    </xf>
    <xf numFmtId="0" fontId="37" fillId="18" borderId="367" xfId="0" applyFont="1" applyFill="1" applyBorder="1" applyAlignment="1"/>
    <xf numFmtId="0" fontId="37" fillId="18" borderId="368" xfId="0" applyFont="1" applyFill="1" applyBorder="1" applyAlignment="1"/>
    <xf numFmtId="0" fontId="37" fillId="18" borderId="371" xfId="0" applyFont="1" applyFill="1" applyBorder="1" applyAlignment="1"/>
    <xf numFmtId="0" fontId="37" fillId="18" borderId="11" xfId="0" applyFont="1" applyFill="1" applyBorder="1" applyAlignment="1"/>
    <xf numFmtId="0" fontId="37" fillId="18" borderId="0" xfId="0" applyFont="1" applyFill="1" applyBorder="1" applyAlignment="1"/>
    <xf numFmtId="0" fontId="37" fillId="18" borderId="35" xfId="0" applyFont="1" applyFill="1" applyBorder="1" applyAlignment="1"/>
    <xf numFmtId="3" fontId="32" fillId="21" borderId="154" xfId="0" applyNumberFormat="1" applyFont="1" applyFill="1" applyBorder="1" applyAlignment="1">
      <alignment horizontal="left" vertical="center"/>
    </xf>
    <xf numFmtId="0" fontId="32" fillId="21" borderId="117" xfId="0" applyFont="1" applyFill="1" applyBorder="1" applyAlignment="1">
      <alignment vertical="center"/>
    </xf>
    <xf numFmtId="0" fontId="32" fillId="21" borderId="116" xfId="0" applyFont="1" applyFill="1" applyBorder="1" applyAlignment="1">
      <alignment vertical="center"/>
    </xf>
    <xf numFmtId="0" fontId="32" fillId="21" borderId="192" xfId="0" applyFont="1" applyFill="1" applyBorder="1" applyAlignment="1">
      <alignment vertical="center"/>
    </xf>
    <xf numFmtId="0" fontId="36" fillId="21" borderId="116" xfId="0" applyFont="1" applyFill="1" applyBorder="1" applyAlignment="1">
      <alignment vertical="center"/>
    </xf>
    <xf numFmtId="0" fontId="32" fillId="21" borderId="117" xfId="0" applyFont="1" applyFill="1" applyBorder="1" applyAlignment="1">
      <alignment horizontal="left" vertical="center"/>
    </xf>
    <xf numFmtId="3" fontId="32" fillId="21" borderId="192" xfId="0" applyNumberFormat="1" applyFont="1" applyFill="1" applyBorder="1" applyAlignment="1">
      <alignment horizontal="left" vertical="center"/>
    </xf>
    <xf numFmtId="177" fontId="37" fillId="19" borderId="56" xfId="0" applyNumberFormat="1" applyFont="1" applyFill="1" applyBorder="1" applyAlignment="1" applyProtection="1">
      <alignment horizontal="center" vertical="center"/>
      <protection locked="0"/>
    </xf>
    <xf numFmtId="177" fontId="37" fillId="19" borderId="70" xfId="0" applyNumberFormat="1" applyFont="1" applyFill="1" applyBorder="1" applyAlignment="1" applyProtection="1">
      <alignment horizontal="center" vertical="center"/>
      <protection locked="0"/>
    </xf>
    <xf numFmtId="0" fontId="32" fillId="21" borderId="148" xfId="0" applyFont="1" applyFill="1" applyBorder="1" applyAlignment="1" applyProtection="1">
      <alignment vertical="center"/>
    </xf>
    <xf numFmtId="168" fontId="32" fillId="23" borderId="7" xfId="5" applyNumberFormat="1" applyFont="1" applyFill="1" applyBorder="1" applyAlignment="1" applyProtection="1">
      <alignment horizontal="center" vertical="center" wrapText="1"/>
    </xf>
    <xf numFmtId="8" fontId="32" fillId="23" borderId="18" xfId="5" applyNumberFormat="1" applyFont="1" applyFill="1" applyBorder="1" applyAlignment="1" applyProtection="1">
      <alignment vertical="center" wrapText="1"/>
    </xf>
    <xf numFmtId="174" fontId="36" fillId="19" borderId="84" xfId="0" applyNumberFormat="1" applyFont="1" applyFill="1" applyBorder="1" applyAlignment="1" applyProtection="1">
      <alignment vertical="center"/>
      <protection locked="0"/>
    </xf>
    <xf numFmtId="174" fontId="36" fillId="19" borderId="240" xfId="0" applyNumberFormat="1" applyFont="1" applyFill="1" applyBorder="1" applyAlignment="1" applyProtection="1">
      <alignment vertical="center"/>
      <protection locked="0"/>
    </xf>
    <xf numFmtId="168" fontId="162" fillId="19" borderId="26" xfId="0" applyNumberFormat="1" applyFont="1" applyFill="1" applyBorder="1" applyAlignment="1" applyProtection="1">
      <alignment horizontal="right" vertical="center"/>
      <protection locked="0"/>
    </xf>
    <xf numFmtId="168" fontId="162" fillId="19" borderId="84" xfId="0" applyNumberFormat="1" applyFont="1" applyFill="1" applyBorder="1" applyAlignment="1" applyProtection="1">
      <alignment horizontal="right" vertical="center"/>
      <protection locked="0"/>
    </xf>
    <xf numFmtId="166" fontId="32" fillId="19" borderId="189" xfId="5" applyNumberFormat="1" applyFont="1" applyFill="1" applyBorder="1" applyAlignment="1" applyProtection="1">
      <alignment horizontal="center" vertical="center"/>
      <protection locked="0"/>
    </xf>
    <xf numFmtId="3" fontId="35" fillId="21" borderId="242" xfId="0" applyNumberFormat="1" applyFont="1" applyFill="1" applyBorder="1" applyAlignment="1" applyProtection="1">
      <alignment horizontal="center" vertical="center"/>
    </xf>
    <xf numFmtId="3" fontId="35" fillId="21" borderId="219" xfId="0" applyNumberFormat="1" applyFont="1" applyFill="1" applyBorder="1" applyAlignment="1" applyProtection="1">
      <alignment horizontal="center" vertical="center"/>
    </xf>
    <xf numFmtId="177" fontId="36" fillId="0" borderId="0" xfId="0" applyNumberFormat="1" applyFont="1" applyFill="1" applyBorder="1" applyAlignment="1">
      <alignment horizontal="center"/>
    </xf>
    <xf numFmtId="0" fontId="32" fillId="0" borderId="0" xfId="0" applyFont="1" applyFill="1" applyBorder="1" applyAlignment="1">
      <alignment horizontal="center" vertical="center" wrapText="1"/>
    </xf>
    <xf numFmtId="177" fontId="36" fillId="0" borderId="243" xfId="0" applyNumberFormat="1" applyFont="1" applyBorder="1"/>
    <xf numFmtId="177" fontId="36" fillId="0" borderId="254" xfId="0" applyNumberFormat="1" applyFont="1" applyBorder="1"/>
    <xf numFmtId="3" fontId="43" fillId="0" borderId="0" xfId="0" applyNumberFormat="1" applyFont="1" applyFill="1" applyAlignment="1">
      <alignment vertical="center"/>
    </xf>
    <xf numFmtId="174" fontId="196" fillId="4" borderId="224" xfId="0" applyNumberFormat="1" applyFont="1" applyFill="1" applyBorder="1" applyAlignment="1">
      <alignment vertical="center" wrapText="1"/>
    </xf>
    <xf numFmtId="166" fontId="36" fillId="0" borderId="112" xfId="0" applyNumberFormat="1" applyFont="1" applyBorder="1" applyAlignment="1">
      <alignment horizontal="center"/>
    </xf>
    <xf numFmtId="3" fontId="32" fillId="23" borderId="10" xfId="0" applyNumberFormat="1" applyFont="1" applyFill="1" applyBorder="1" applyAlignment="1">
      <alignment horizontal="center" vertical="center"/>
    </xf>
    <xf numFmtId="1" fontId="32" fillId="23" borderId="19" xfId="0" applyNumberFormat="1" applyFont="1" applyFill="1" applyBorder="1" applyAlignment="1">
      <alignment horizontal="center" vertical="center" wrapText="1"/>
    </xf>
    <xf numFmtId="0" fontId="32" fillId="23" borderId="24" xfId="0" applyFont="1" applyFill="1" applyBorder="1" applyAlignment="1">
      <alignment horizontal="center" vertical="center" wrapText="1"/>
    </xf>
    <xf numFmtId="1" fontId="32" fillId="23" borderId="46" xfId="0" applyNumberFormat="1" applyFont="1" applyFill="1" applyBorder="1" applyAlignment="1">
      <alignment horizontal="center" vertical="center" wrapText="1"/>
    </xf>
    <xf numFmtId="0" fontId="32" fillId="23" borderId="34" xfId="0" applyFont="1" applyFill="1" applyBorder="1" applyAlignment="1">
      <alignment horizontal="center" vertical="center" wrapText="1"/>
    </xf>
    <xf numFmtId="166" fontId="36" fillId="19" borderId="35" xfId="0" applyNumberFormat="1" applyFont="1" applyFill="1" applyBorder="1" applyAlignment="1" applyProtection="1">
      <alignment horizontal="right" vertical="center"/>
      <protection locked="0"/>
    </xf>
    <xf numFmtId="3" fontId="32" fillId="23" borderId="171" xfId="0" applyNumberFormat="1" applyFont="1" applyFill="1" applyBorder="1" applyAlignment="1">
      <alignment horizontal="center"/>
    </xf>
    <xf numFmtId="3" fontId="32" fillId="23" borderId="28" xfId="0" applyNumberFormat="1" applyFont="1" applyFill="1" applyBorder="1" applyAlignment="1">
      <alignment horizontal="center"/>
    </xf>
    <xf numFmtId="3" fontId="32" fillId="23" borderId="275" xfId="0" applyNumberFormat="1" applyFont="1" applyFill="1" applyBorder="1" applyAlignment="1">
      <alignment horizontal="center"/>
    </xf>
    <xf numFmtId="3" fontId="32" fillId="23" borderId="29" xfId="0" applyNumberFormat="1" applyFont="1" applyFill="1" applyBorder="1" applyAlignment="1">
      <alignment horizontal="center"/>
    </xf>
    <xf numFmtId="3" fontId="32" fillId="23" borderId="73" xfId="0" applyNumberFormat="1" applyFont="1" applyFill="1" applyBorder="1"/>
    <xf numFmtId="174" fontId="32" fillId="23" borderId="170" xfId="0" applyNumberFormat="1" applyFont="1" applyFill="1" applyBorder="1" applyAlignment="1">
      <alignment vertical="center"/>
    </xf>
    <xf numFmtId="166" fontId="32" fillId="23" borderId="90" xfId="0" applyNumberFormat="1" applyFont="1" applyFill="1" applyBorder="1" applyAlignment="1">
      <alignment vertical="center"/>
    </xf>
    <xf numFmtId="174" fontId="32" fillId="23" borderId="170" xfId="0" applyNumberFormat="1" applyFont="1" applyFill="1" applyBorder="1" applyAlignment="1" applyProtection="1">
      <alignment vertical="center"/>
    </xf>
    <xf numFmtId="166" fontId="32" fillId="23" borderId="276" xfId="0" applyNumberFormat="1" applyFont="1" applyFill="1" applyBorder="1" applyAlignment="1">
      <alignment vertical="center"/>
    </xf>
    <xf numFmtId="3" fontId="32" fillId="23" borderId="147" xfId="0" applyNumberFormat="1" applyFont="1" applyFill="1" applyBorder="1"/>
    <xf numFmtId="174" fontId="32" fillId="23" borderId="277" xfId="0" applyNumberFormat="1" applyFont="1" applyFill="1" applyBorder="1" applyAlignment="1">
      <alignment vertical="center"/>
    </xf>
    <xf numFmtId="166" fontId="32" fillId="23" borderId="278" xfId="0" applyNumberFormat="1" applyFont="1" applyFill="1" applyBorder="1" applyAlignment="1">
      <alignment vertical="center"/>
    </xf>
    <xf numFmtId="166" fontId="32" fillId="23" borderId="279" xfId="0" applyNumberFormat="1" applyFont="1" applyFill="1" applyBorder="1" applyAlignment="1">
      <alignment vertical="center"/>
    </xf>
    <xf numFmtId="3" fontId="32" fillId="18" borderId="72" xfId="0" applyNumberFormat="1" applyFont="1" applyFill="1" applyBorder="1"/>
    <xf numFmtId="174" fontId="32" fillId="18" borderId="104" xfId="0" applyNumberFormat="1" applyFont="1" applyFill="1" applyBorder="1" applyAlignment="1">
      <alignment vertical="center"/>
    </xf>
    <xf numFmtId="166" fontId="32" fillId="18" borderId="82" xfId="0" applyNumberFormat="1" applyFont="1" applyFill="1" applyBorder="1" applyAlignment="1">
      <alignment vertical="center"/>
    </xf>
    <xf numFmtId="166" fontId="32" fillId="18" borderId="38" xfId="0" applyNumberFormat="1" applyFont="1" applyFill="1" applyBorder="1" applyAlignment="1">
      <alignment vertical="center"/>
    </xf>
    <xf numFmtId="3" fontId="32" fillId="18" borderId="2" xfId="0" applyNumberFormat="1" applyFont="1" applyFill="1" applyBorder="1"/>
    <xf numFmtId="174" fontId="32" fillId="18" borderId="227" xfId="0" applyNumberFormat="1" applyFont="1" applyFill="1" applyBorder="1" applyAlignment="1">
      <alignment vertical="center"/>
    </xf>
    <xf numFmtId="174" fontId="32" fillId="18" borderId="227" xfId="0" applyNumberFormat="1" applyFont="1" applyFill="1" applyBorder="1" applyAlignment="1" applyProtection="1">
      <alignment vertical="center"/>
    </xf>
    <xf numFmtId="0" fontId="16" fillId="0" borderId="0" xfId="0" applyFont="1" applyFill="1" applyBorder="1" applyAlignment="1">
      <alignment horizontal="center" vertical="center"/>
    </xf>
    <xf numFmtId="0" fontId="43" fillId="0" borderId="0" xfId="0" applyFont="1" applyFill="1" applyBorder="1" applyAlignment="1"/>
    <xf numFmtId="174" fontId="36" fillId="0" borderId="0" xfId="0" applyNumberFormat="1" applyFont="1" applyFill="1" applyBorder="1" applyAlignment="1">
      <alignment horizontal="center" vertical="center"/>
    </xf>
    <xf numFmtId="166" fontId="32"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66" fontId="15" fillId="0" borderId="0" xfId="0" applyNumberFormat="1" applyFont="1" applyFill="1" applyBorder="1" applyAlignment="1">
      <alignment horizontal="center" vertical="center"/>
    </xf>
    <xf numFmtId="174" fontId="32" fillId="0" borderId="0" xfId="0" applyNumberFormat="1" applyFont="1" applyFill="1" applyBorder="1" applyAlignment="1">
      <alignment horizontal="center" vertical="center"/>
    </xf>
    <xf numFmtId="9" fontId="32" fillId="0" borderId="0" xfId="0" applyNumberFormat="1" applyFont="1" applyFill="1" applyBorder="1" applyAlignment="1">
      <alignment horizontal="center" vertical="center"/>
    </xf>
    <xf numFmtId="9" fontId="15"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3" fontId="32" fillId="18" borderId="170" xfId="0" applyNumberFormat="1" applyFont="1" applyFill="1" applyBorder="1" applyAlignment="1">
      <alignment horizontal="center"/>
    </xf>
    <xf numFmtId="3" fontId="32" fillId="18" borderId="287" xfId="0" applyNumberFormat="1" applyFont="1" applyFill="1" applyBorder="1" applyAlignment="1">
      <alignment horizontal="center"/>
    </xf>
    <xf numFmtId="166" fontId="196" fillId="4" borderId="222" xfId="0" applyNumberFormat="1" applyFont="1" applyFill="1" applyBorder="1" applyAlignment="1">
      <alignment vertical="center" wrapText="1"/>
    </xf>
    <xf numFmtId="174" fontId="196" fillId="4" borderId="438" xfId="0" applyNumberFormat="1" applyFont="1" applyFill="1" applyBorder="1" applyAlignment="1">
      <alignment vertical="center" wrapText="1"/>
    </xf>
    <xf numFmtId="166" fontId="196" fillId="4" borderId="437" xfId="0" applyNumberFormat="1" applyFont="1" applyFill="1" applyBorder="1" applyAlignment="1">
      <alignment vertical="center" wrapText="1"/>
    </xf>
    <xf numFmtId="3" fontId="235" fillId="0" borderId="0" xfId="0" applyNumberFormat="1" applyFont="1" applyBorder="1" applyAlignment="1">
      <alignment horizontal="center" vertical="center" wrapText="1"/>
    </xf>
    <xf numFmtId="3" fontId="236" fillId="0" borderId="0" xfId="0" applyNumberFormat="1" applyFont="1" applyFill="1" applyBorder="1" applyAlignment="1">
      <alignment horizontal="center" vertical="center" wrapText="1"/>
    </xf>
    <xf numFmtId="0" fontId="236" fillId="0" borderId="0" xfId="0" applyFont="1" applyBorder="1" applyAlignment="1">
      <alignment horizontal="center" vertical="center" wrapText="1"/>
    </xf>
    <xf numFmtId="166" fontId="32" fillId="19" borderId="442" xfId="5" applyNumberFormat="1" applyFont="1" applyFill="1" applyBorder="1" applyAlignment="1" applyProtection="1">
      <alignment horizontal="center" vertical="center"/>
      <protection locked="0"/>
    </xf>
    <xf numFmtId="0" fontId="0" fillId="0" borderId="0" xfId="0"/>
    <xf numFmtId="177" fontId="238" fillId="22" borderId="116" xfId="0" applyNumberFormat="1" applyFont="1" applyFill="1" applyBorder="1" applyAlignment="1">
      <alignment vertical="center"/>
    </xf>
    <xf numFmtId="177" fontId="238" fillId="22" borderId="119" xfId="0" applyNumberFormat="1" applyFont="1" applyFill="1" applyBorder="1" applyAlignment="1">
      <alignment vertical="center"/>
    </xf>
    <xf numFmtId="3" fontId="242" fillId="0" borderId="0" xfId="0" applyNumberFormat="1" applyFont="1" applyAlignment="1">
      <alignment vertical="center"/>
    </xf>
    <xf numFmtId="177" fontId="243" fillId="22" borderId="117" xfId="0" applyNumberFormat="1" applyFont="1" applyFill="1" applyBorder="1" applyAlignment="1">
      <alignment vertical="center"/>
    </xf>
    <xf numFmtId="177" fontId="243" fillId="22" borderId="116" xfId="0" applyNumberFormat="1" applyFont="1" applyFill="1" applyBorder="1" applyAlignment="1">
      <alignment vertical="center"/>
    </xf>
    <xf numFmtId="177" fontId="243" fillId="22" borderId="119" xfId="0" applyNumberFormat="1" applyFont="1" applyFill="1" applyBorder="1" applyAlignment="1">
      <alignment vertical="center"/>
    </xf>
    <xf numFmtId="177" fontId="243" fillId="22" borderId="393" xfId="0" applyNumberFormat="1" applyFont="1" applyFill="1" applyBorder="1" applyAlignment="1" applyProtection="1">
      <alignment vertical="center"/>
    </xf>
    <xf numFmtId="177" fontId="243" fillId="22" borderId="192" xfId="0" applyNumberFormat="1" applyFont="1" applyFill="1" applyBorder="1" applyAlignment="1" applyProtection="1">
      <alignment vertical="center"/>
    </xf>
    <xf numFmtId="9" fontId="248" fillId="0" borderId="148" xfId="5" applyFont="1" applyBorder="1" applyAlignment="1">
      <alignment horizontal="center" vertical="center"/>
    </xf>
    <xf numFmtId="3" fontId="242" fillId="17" borderId="0" xfId="0" applyNumberFormat="1" applyFont="1" applyFill="1" applyBorder="1" applyAlignment="1">
      <alignment vertical="center"/>
    </xf>
    <xf numFmtId="174" fontId="243" fillId="22" borderId="388" xfId="0" applyNumberFormat="1" applyFont="1" applyFill="1" applyBorder="1" applyAlignment="1" applyProtection="1">
      <alignment vertical="center"/>
    </xf>
    <xf numFmtId="174" fontId="243" fillId="22" borderId="143" xfId="0" applyNumberFormat="1" applyFont="1" applyFill="1" applyBorder="1" applyAlignment="1" applyProtection="1">
      <alignment vertical="center"/>
    </xf>
    <xf numFmtId="3" fontId="249" fillId="0" borderId="0" xfId="0" applyNumberFormat="1" applyFont="1" applyFill="1" applyBorder="1" applyAlignment="1" applyProtection="1">
      <alignment vertical="center"/>
    </xf>
    <xf numFmtId="0" fontId="250" fillId="0" borderId="35" xfId="0" applyFont="1" applyFill="1" applyBorder="1" applyAlignment="1">
      <alignment vertical="center"/>
    </xf>
    <xf numFmtId="174" fontId="243" fillId="22" borderId="142" xfId="0" applyNumberFormat="1" applyFont="1" applyFill="1" applyBorder="1" applyAlignment="1" applyProtection="1">
      <alignment vertical="center"/>
    </xf>
    <xf numFmtId="174" fontId="32" fillId="0" borderId="23" xfId="0" applyNumberFormat="1" applyFont="1" applyBorder="1"/>
    <xf numFmtId="174" fontId="36" fillId="0" borderId="443" xfId="0" applyNumberFormat="1" applyFont="1" applyBorder="1"/>
    <xf numFmtId="3" fontId="247" fillId="0" borderId="0" xfId="0" applyNumberFormat="1" applyFont="1" applyBorder="1" applyAlignment="1">
      <alignment horizontal="center" vertical="center" wrapText="1"/>
    </xf>
    <xf numFmtId="3" fontId="242" fillId="0" borderId="0" xfId="0" applyNumberFormat="1" applyFont="1"/>
    <xf numFmtId="3" fontId="242" fillId="17" borderId="0" xfId="0" applyNumberFormat="1" applyFont="1" applyFill="1" applyBorder="1"/>
    <xf numFmtId="3" fontId="247" fillId="0" borderId="0" xfId="0" applyNumberFormat="1" applyFont="1" applyFill="1" applyBorder="1" applyAlignment="1">
      <alignment horizontal="center" vertical="center" wrapText="1"/>
    </xf>
    <xf numFmtId="0" fontId="247" fillId="0" borderId="0" xfId="0" applyFont="1" applyBorder="1" applyAlignment="1">
      <alignment horizontal="center" vertical="center" wrapText="1"/>
    </xf>
    <xf numFmtId="0" fontId="0" fillId="0" borderId="0" xfId="0"/>
    <xf numFmtId="0" fontId="0" fillId="0" borderId="0" xfId="0" applyBorder="1" applyAlignment="1">
      <alignment vertical="center" wrapText="1"/>
    </xf>
    <xf numFmtId="3" fontId="252" fillId="0" borderId="0" xfId="0" applyNumberFormat="1" applyFont="1" applyAlignment="1">
      <alignment horizontal="center" vertical="center"/>
    </xf>
    <xf numFmtId="177" fontId="32" fillId="0" borderId="273" xfId="0" applyNumberFormat="1" applyFont="1" applyBorder="1"/>
    <xf numFmtId="177" fontId="32" fillId="0" borderId="48" xfId="0" applyNumberFormat="1" applyFont="1" applyBorder="1"/>
    <xf numFmtId="177" fontId="32" fillId="19" borderId="116" xfId="0" applyNumberFormat="1" applyFont="1" applyFill="1" applyBorder="1" applyAlignment="1" applyProtection="1">
      <alignment horizontal="center" vertical="center"/>
      <protection locked="0"/>
    </xf>
    <xf numFmtId="177" fontId="32" fillId="19" borderId="192" xfId="0" applyNumberFormat="1" applyFont="1" applyFill="1" applyBorder="1" applyAlignment="1" applyProtection="1">
      <alignment horizontal="center" vertical="center"/>
      <protection locked="0"/>
    </xf>
    <xf numFmtId="177" fontId="32" fillId="0" borderId="9" xfId="0" applyNumberFormat="1" applyFont="1" applyBorder="1" applyAlignment="1">
      <alignment horizontal="center" vertical="center"/>
    </xf>
    <xf numFmtId="3" fontId="37" fillId="0" borderId="0" xfId="0" applyNumberFormat="1" applyFont="1" applyBorder="1" applyAlignment="1">
      <alignment horizontal="center" vertical="center"/>
    </xf>
    <xf numFmtId="3" fontId="43" fillId="0" borderId="0" xfId="0" applyNumberFormat="1" applyFont="1" applyAlignment="1">
      <alignment horizontal="center" vertical="center"/>
    </xf>
    <xf numFmtId="3" fontId="8" fillId="0" borderId="0" xfId="0" applyNumberFormat="1" applyFont="1" applyAlignment="1">
      <alignment horizontal="center" vertical="center"/>
    </xf>
    <xf numFmtId="177" fontId="32" fillId="0" borderId="23" xfId="0" applyNumberFormat="1" applyFont="1" applyBorder="1"/>
    <xf numFmtId="177" fontId="32" fillId="19" borderId="117" xfId="0" applyNumberFormat="1" applyFont="1" applyFill="1" applyBorder="1" applyAlignment="1" applyProtection="1">
      <alignment horizontal="center" vertical="center"/>
      <protection locked="0"/>
    </xf>
    <xf numFmtId="177" fontId="92" fillId="0" borderId="47" xfId="0" applyNumberFormat="1" applyFont="1" applyBorder="1" applyAlignment="1">
      <alignment horizontal="center" vertical="center"/>
    </xf>
    <xf numFmtId="177" fontId="92" fillId="0" borderId="50" xfId="0" applyNumberFormat="1" applyFont="1" applyBorder="1" applyAlignment="1">
      <alignment horizontal="center" vertical="center"/>
    </xf>
    <xf numFmtId="177" fontId="36" fillId="10" borderId="257" xfId="0" applyNumberFormat="1" applyFont="1" applyFill="1" applyBorder="1" applyAlignment="1" applyProtection="1">
      <alignment horizontal="right" vertical="center"/>
      <protection locked="0"/>
    </xf>
    <xf numFmtId="177" fontId="36" fillId="10" borderId="259" xfId="0" applyNumberFormat="1" applyFont="1" applyFill="1" applyBorder="1" applyAlignment="1" applyProtection="1">
      <alignment horizontal="right" vertical="center"/>
      <protection locked="0"/>
    </xf>
    <xf numFmtId="177" fontId="36" fillId="19" borderId="254" xfId="0" applyNumberFormat="1" applyFont="1" applyFill="1" applyBorder="1" applyAlignment="1" applyProtection="1">
      <alignment horizontal="right" vertical="center"/>
      <protection locked="0"/>
    </xf>
    <xf numFmtId="177" fontId="36" fillId="19" borderId="89" xfId="0" applyNumberFormat="1" applyFont="1" applyFill="1" applyBorder="1" applyAlignment="1" applyProtection="1">
      <alignment horizontal="right" vertical="center"/>
      <protection locked="0"/>
    </xf>
    <xf numFmtId="177" fontId="36" fillId="10" borderId="254" xfId="0" applyNumberFormat="1" applyFont="1" applyFill="1" applyBorder="1" applyAlignment="1" applyProtection="1">
      <alignment horizontal="right" vertical="center"/>
      <protection locked="0"/>
    </xf>
    <xf numFmtId="177" fontId="36" fillId="10" borderId="89" xfId="0" applyNumberFormat="1" applyFont="1" applyFill="1" applyBorder="1" applyAlignment="1" applyProtection="1">
      <alignment horizontal="right" vertical="center"/>
      <protection locked="0"/>
    </xf>
    <xf numFmtId="166" fontId="32" fillId="19" borderId="238" xfId="5" applyNumberFormat="1" applyFont="1" applyFill="1" applyBorder="1" applyAlignment="1" applyProtection="1">
      <alignment horizontal="center" vertical="center" wrapText="1"/>
      <protection locked="0"/>
    </xf>
    <xf numFmtId="177" fontId="36" fillId="19" borderId="121" xfId="0" applyNumberFormat="1" applyFont="1" applyFill="1" applyBorder="1" applyAlignment="1" applyProtection="1">
      <alignment horizontal="right" vertical="center"/>
      <protection locked="0"/>
    </xf>
    <xf numFmtId="3" fontId="40" fillId="24" borderId="0" xfId="0" applyNumberFormat="1" applyFont="1" applyFill="1" applyBorder="1" applyAlignment="1">
      <alignment vertical="center"/>
    </xf>
    <xf numFmtId="177" fontId="32" fillId="0" borderId="89" xfId="0" applyNumberFormat="1" applyFont="1" applyBorder="1"/>
    <xf numFmtId="177" fontId="32" fillId="0" borderId="107" xfId="0" applyNumberFormat="1" applyFont="1" applyBorder="1"/>
    <xf numFmtId="177" fontId="32" fillId="0" borderId="74" xfId="0" applyNumberFormat="1" applyFont="1" applyBorder="1"/>
    <xf numFmtId="0" fontId="56" fillId="0" borderId="0" xfId="0" applyFont="1" applyFill="1" applyBorder="1" applyProtection="1"/>
    <xf numFmtId="166" fontId="32" fillId="0" borderId="0" xfId="5" applyNumberFormat="1" applyFont="1" applyFill="1" applyBorder="1" applyAlignment="1" applyProtection="1">
      <alignment horizontal="center"/>
    </xf>
    <xf numFmtId="3" fontId="39" fillId="17" borderId="0" xfId="0" applyNumberFormat="1" applyFont="1" applyFill="1" applyBorder="1" applyAlignment="1">
      <alignment vertical="center"/>
    </xf>
    <xf numFmtId="166" fontId="35" fillId="17" borderId="0" xfId="0" applyNumberFormat="1" applyFont="1" applyFill="1" applyBorder="1"/>
    <xf numFmtId="0" fontId="0" fillId="17" borderId="0" xfId="0" applyFill="1" applyBorder="1"/>
    <xf numFmtId="3" fontId="37" fillId="17" borderId="0" xfId="0" applyNumberFormat="1" applyFont="1" applyFill="1" applyBorder="1" applyAlignment="1">
      <alignment horizontal="center" vertical="center"/>
    </xf>
    <xf numFmtId="181" fontId="37" fillId="17" borderId="0" xfId="0" applyNumberFormat="1" applyFont="1" applyFill="1" applyBorder="1" applyAlignment="1">
      <alignment horizontal="center"/>
    </xf>
    <xf numFmtId="3" fontId="7" fillId="17" borderId="0" xfId="0" applyNumberFormat="1" applyFont="1" applyFill="1" applyBorder="1"/>
    <xf numFmtId="3" fontId="8" fillId="17" borderId="0" xfId="0" applyNumberFormat="1" applyFont="1" applyFill="1" applyBorder="1" applyAlignment="1">
      <alignment vertical="center"/>
    </xf>
    <xf numFmtId="9" fontId="8" fillId="17" borderId="0" xfId="0" applyNumberFormat="1" applyFont="1" applyFill="1" applyBorder="1"/>
    <xf numFmtId="3" fontId="8" fillId="17" borderId="0" xfId="0" applyNumberFormat="1" applyFont="1" applyFill="1" applyBorder="1" applyAlignment="1"/>
    <xf numFmtId="0" fontId="0" fillId="17" borderId="0" xfId="0" applyFill="1"/>
    <xf numFmtId="0" fontId="0" fillId="17" borderId="0" xfId="0" applyFill="1" applyAlignment="1">
      <alignment horizontal="center" vertical="center"/>
    </xf>
    <xf numFmtId="3" fontId="8" fillId="24" borderId="0" xfId="0" applyNumberFormat="1" applyFont="1" applyFill="1"/>
    <xf numFmtId="3" fontId="32" fillId="23" borderId="246" xfId="0" applyNumberFormat="1" applyFont="1" applyFill="1" applyBorder="1" applyAlignment="1">
      <alignment horizontal="center" vertical="center"/>
    </xf>
    <xf numFmtId="3" fontId="32" fillId="23" borderId="144" xfId="0" applyNumberFormat="1" applyFont="1" applyFill="1" applyBorder="1" applyAlignment="1">
      <alignment horizontal="center" vertical="center"/>
    </xf>
    <xf numFmtId="3" fontId="32" fillId="23" borderId="152" xfId="0" applyNumberFormat="1" applyFont="1" applyFill="1" applyBorder="1" applyAlignment="1">
      <alignment horizontal="center" vertical="center"/>
    </xf>
    <xf numFmtId="177" fontId="32" fillId="22" borderId="116" xfId="0" applyNumberFormat="1" applyFont="1" applyFill="1" applyBorder="1" applyAlignment="1">
      <alignment horizontal="center" vertical="center"/>
    </xf>
    <xf numFmtId="177" fontId="32" fillId="22" borderId="119" xfId="0" applyNumberFormat="1" applyFont="1" applyFill="1" applyBorder="1" applyAlignment="1">
      <alignment horizontal="center" vertical="center"/>
    </xf>
    <xf numFmtId="177" fontId="32" fillId="22" borderId="117" xfId="0" applyNumberFormat="1" applyFont="1" applyFill="1" applyBorder="1" applyAlignment="1">
      <alignment horizontal="center" vertical="center"/>
    </xf>
    <xf numFmtId="177" fontId="92" fillId="22" borderId="119" xfId="0" applyNumberFormat="1" applyFont="1" applyFill="1" applyBorder="1" applyAlignment="1">
      <alignment horizontal="center" vertical="center"/>
    </xf>
    <xf numFmtId="0" fontId="46" fillId="0" borderId="0" xfId="0" applyFont="1" applyBorder="1" applyAlignment="1">
      <alignment horizontal="center"/>
    </xf>
    <xf numFmtId="0" fontId="0" fillId="0" borderId="0" xfId="0" applyFill="1" applyBorder="1"/>
    <xf numFmtId="180" fontId="158" fillId="0" borderId="0" xfId="0" applyNumberFormat="1" applyFont="1" applyFill="1" applyBorder="1" applyAlignment="1">
      <alignment vertical="center"/>
    </xf>
    <xf numFmtId="180" fontId="33" fillId="0" borderId="0" xfId="0" applyNumberFormat="1" applyFont="1" applyBorder="1"/>
    <xf numFmtId="0" fontId="33" fillId="0" borderId="0" xfId="0" applyFont="1" applyBorder="1"/>
    <xf numFmtId="0" fontId="33" fillId="0" borderId="0" xfId="0" applyFont="1" applyFill="1" applyBorder="1"/>
    <xf numFmtId="0" fontId="254" fillId="0" borderId="0" xfId="0" applyFont="1" applyFill="1" applyBorder="1" applyAlignment="1">
      <alignment horizontal="left" vertical="center" wrapText="1"/>
    </xf>
    <xf numFmtId="180" fontId="255" fillId="0" borderId="0" xfId="0" applyNumberFormat="1" applyFont="1" applyFill="1" applyBorder="1" applyAlignment="1"/>
    <xf numFmtId="180" fontId="255" fillId="0" borderId="0" xfId="0" applyNumberFormat="1" applyFont="1" applyFill="1" applyBorder="1" applyAlignment="1">
      <alignment horizontal="right" vertical="center"/>
    </xf>
    <xf numFmtId="177" fontId="35" fillId="19" borderId="88" xfId="0" applyNumberFormat="1" applyFont="1" applyFill="1" applyBorder="1" applyAlignment="1" applyProtection="1">
      <alignment horizontal="right"/>
      <protection locked="0"/>
    </xf>
    <xf numFmtId="3" fontId="35" fillId="21" borderId="144" xfId="0" applyNumberFormat="1" applyFont="1" applyFill="1" applyBorder="1" applyAlignment="1" applyProtection="1">
      <alignment horizontal="center" vertical="center"/>
    </xf>
    <xf numFmtId="1" fontId="259" fillId="0" borderId="0" xfId="0" applyNumberFormat="1" applyFont="1"/>
    <xf numFmtId="0" fontId="149" fillId="22" borderId="9" xfId="0" applyFont="1" applyFill="1" applyBorder="1" applyAlignment="1">
      <alignment horizontal="center"/>
    </xf>
    <xf numFmtId="0" fontId="258" fillId="22" borderId="7" xfId="0" applyFont="1" applyFill="1" applyBorder="1" applyAlignment="1">
      <alignment horizontal="center" vertical="center"/>
    </xf>
    <xf numFmtId="3" fontId="258" fillId="22" borderId="17" xfId="3" applyNumberFormat="1" applyFont="1" applyFill="1" applyBorder="1" applyAlignment="1">
      <alignment horizontal="center" vertical="center"/>
    </xf>
    <xf numFmtId="0" fontId="91" fillId="0" borderId="0" xfId="0" applyFont="1" applyBorder="1" applyAlignment="1">
      <alignment horizontal="center" vertical="center"/>
    </xf>
    <xf numFmtId="0" fontId="91" fillId="0" borderId="0" xfId="0" applyFont="1" applyFill="1" applyBorder="1" applyAlignment="1" applyProtection="1">
      <alignment horizontal="center" vertical="center"/>
      <protection locked="0"/>
    </xf>
    <xf numFmtId="0" fontId="258" fillId="22" borderId="313" xfId="0" applyFont="1" applyFill="1" applyBorder="1" applyAlignment="1">
      <alignment horizontal="center" vertical="center"/>
    </xf>
    <xf numFmtId="0" fontId="39" fillId="25" borderId="7" xfId="0" applyFont="1" applyFill="1" applyBorder="1" applyAlignment="1">
      <alignment horizontal="center" vertical="center"/>
    </xf>
    <xf numFmtId="165" fontId="33" fillId="25" borderId="17" xfId="3" applyFont="1" applyFill="1" applyBorder="1"/>
    <xf numFmtId="0" fontId="162" fillId="0" borderId="0" xfId="0" applyFont="1" applyBorder="1"/>
    <xf numFmtId="0" fontId="101" fillId="0" borderId="0" xfId="0" applyFont="1" applyFill="1" applyAlignment="1">
      <alignment horizontal="center" vertical="center" wrapText="1"/>
    </xf>
    <xf numFmtId="0" fontId="211" fillId="0" borderId="0" xfId="0" applyFont="1" applyFill="1" applyAlignment="1">
      <alignment horizontal="center" vertical="center" wrapText="1"/>
    </xf>
    <xf numFmtId="0" fontId="211" fillId="0" borderId="0" xfId="0" applyFont="1" applyFill="1" applyAlignment="1">
      <alignment vertical="center" wrapText="1"/>
    </xf>
    <xf numFmtId="0" fontId="76" fillId="0" borderId="0" xfId="0" applyFont="1" applyFill="1" applyBorder="1"/>
    <xf numFmtId="0" fontId="33" fillId="0" borderId="0" xfId="0" applyFont="1" applyFill="1" applyBorder="1" applyAlignment="1">
      <alignment horizontal="right" vertical="center"/>
    </xf>
    <xf numFmtId="165" fontId="33" fillId="0" borderId="0" xfId="3" applyFont="1" applyFill="1" applyBorder="1" applyAlignment="1">
      <alignment vertical="center"/>
    </xf>
    <xf numFmtId="0" fontId="162" fillId="0" borderId="0" xfId="0" applyFont="1" applyFill="1" applyBorder="1"/>
    <xf numFmtId="177" fontId="35" fillId="25" borderId="25" xfId="0" applyNumberFormat="1" applyFont="1" applyFill="1" applyBorder="1" applyAlignment="1">
      <alignment horizontal="center" vertical="center"/>
    </xf>
    <xf numFmtId="166" fontId="35" fillId="25" borderId="136" xfId="5" applyNumberFormat="1" applyFont="1" applyFill="1" applyBorder="1" applyAlignment="1">
      <alignment horizontal="center" vertical="center"/>
    </xf>
    <xf numFmtId="0" fontId="91" fillId="0" borderId="74" xfId="0" applyFont="1" applyBorder="1" applyAlignment="1">
      <alignment horizontal="center" vertical="center"/>
    </xf>
    <xf numFmtId="0" fontId="91" fillId="19" borderId="87" xfId="0" applyFont="1" applyFill="1" applyBorder="1" applyAlignment="1" applyProtection="1">
      <alignment horizontal="center" vertical="center"/>
      <protection locked="0"/>
    </xf>
    <xf numFmtId="0" fontId="35" fillId="19" borderId="87" xfId="0" applyFont="1" applyFill="1" applyBorder="1" applyAlignment="1" applyProtection="1">
      <alignment horizontal="center" vertical="center"/>
      <protection locked="0"/>
    </xf>
    <xf numFmtId="3" fontId="175" fillId="18" borderId="0" xfId="0" applyNumberFormat="1" applyFont="1" applyFill="1" applyBorder="1" applyAlignment="1">
      <alignment horizontal="center" wrapText="1"/>
    </xf>
    <xf numFmtId="0" fontId="151" fillId="18" borderId="0" xfId="0" applyFont="1" applyFill="1" applyBorder="1" applyAlignment="1">
      <alignment horizontal="center" wrapText="1"/>
    </xf>
    <xf numFmtId="177" fontId="175" fillId="18" borderId="0" xfId="0" applyNumberFormat="1" applyFont="1" applyFill="1" applyBorder="1"/>
    <xf numFmtId="3" fontId="8" fillId="18" borderId="0" xfId="0" applyNumberFormat="1" applyFont="1" applyFill="1" applyBorder="1"/>
    <xf numFmtId="177" fontId="32" fillId="18" borderId="0" xfId="0" applyNumberFormat="1" applyFont="1" applyFill="1" applyBorder="1"/>
    <xf numFmtId="3" fontId="35" fillId="18" borderId="405" xfId="0" applyNumberFormat="1" applyFont="1" applyFill="1" applyBorder="1" applyAlignment="1">
      <alignment horizontal="center" vertical="center" wrapText="1"/>
    </xf>
    <xf numFmtId="0" fontId="36" fillId="0" borderId="0" xfId="0" applyFont="1" applyAlignment="1">
      <alignment horizontal="center"/>
    </xf>
    <xf numFmtId="166" fontId="36" fillId="19" borderId="81" xfId="0" applyNumberFormat="1" applyFont="1" applyFill="1" applyBorder="1" applyAlignment="1" applyProtection="1">
      <alignment horizontal="right" vertical="center"/>
      <protection locked="0"/>
    </xf>
    <xf numFmtId="3" fontId="263" fillId="18" borderId="333" xfId="0" applyNumberFormat="1" applyFont="1" applyFill="1" applyBorder="1" applyAlignment="1">
      <alignment horizontal="center" vertical="center" wrapText="1"/>
    </xf>
    <xf numFmtId="3" fontId="263" fillId="18" borderId="225" xfId="0" applyNumberFormat="1" applyFont="1" applyFill="1" applyBorder="1" applyAlignment="1">
      <alignment horizontal="center" vertical="center" wrapText="1"/>
    </xf>
    <xf numFmtId="3" fontId="263" fillId="0" borderId="0" xfId="0" applyNumberFormat="1" applyFont="1" applyFill="1" applyBorder="1" applyAlignment="1">
      <alignment horizontal="center" vertical="center" wrapText="1"/>
    </xf>
    <xf numFmtId="3" fontId="263" fillId="18" borderId="340" xfId="0" applyNumberFormat="1" applyFont="1" applyFill="1" applyBorder="1" applyAlignment="1">
      <alignment horizontal="center" vertical="center" wrapText="1"/>
    </xf>
    <xf numFmtId="3" fontId="263" fillId="18" borderId="334" xfId="0" applyNumberFormat="1" applyFont="1" applyFill="1" applyBorder="1" applyAlignment="1">
      <alignment horizontal="center" vertical="center" wrapText="1"/>
    </xf>
    <xf numFmtId="177" fontId="264" fillId="10" borderId="327" xfId="0" applyNumberFormat="1" applyFont="1" applyFill="1" applyBorder="1" applyAlignment="1" applyProtection="1">
      <alignment horizontal="right" vertical="center"/>
      <protection locked="0"/>
    </xf>
    <xf numFmtId="177" fontId="264" fillId="8" borderId="0" xfId="0" applyNumberFormat="1" applyFont="1" applyFill="1" applyBorder="1" applyAlignment="1" applyProtection="1">
      <alignment horizontal="right" vertical="center"/>
      <protection locked="0"/>
    </xf>
    <xf numFmtId="177" fontId="264" fillId="10" borderId="328" xfId="0" applyNumberFormat="1" applyFont="1" applyFill="1" applyBorder="1" applyAlignment="1" applyProtection="1">
      <alignment horizontal="right" vertical="center"/>
      <protection locked="0"/>
    </xf>
    <xf numFmtId="177" fontId="264" fillId="0" borderId="0" xfId="0" applyNumberFormat="1" applyFont="1" applyFill="1" applyBorder="1" applyAlignment="1">
      <alignment horizontal="right" vertical="center"/>
    </xf>
    <xf numFmtId="177" fontId="264" fillId="10" borderId="329" xfId="0" applyNumberFormat="1" applyFont="1" applyFill="1" applyBorder="1" applyAlignment="1" applyProtection="1">
      <alignment horizontal="right" vertical="center"/>
      <protection locked="0"/>
    </xf>
    <xf numFmtId="177" fontId="264" fillId="8" borderId="303" xfId="0" applyNumberFormat="1" applyFont="1" applyFill="1" applyBorder="1" applyAlignment="1" applyProtection="1">
      <alignment horizontal="right" vertical="center"/>
      <protection locked="0"/>
    </xf>
    <xf numFmtId="177" fontId="264" fillId="10" borderId="330" xfId="0" applyNumberFormat="1" applyFont="1" applyFill="1" applyBorder="1" applyAlignment="1" applyProtection="1">
      <alignment horizontal="right" vertical="center"/>
      <protection locked="0"/>
    </xf>
    <xf numFmtId="177" fontId="261" fillId="0" borderId="435" xfId="0" applyNumberFormat="1" applyFont="1" applyFill="1" applyBorder="1" applyAlignment="1" applyProtection="1">
      <alignment horizontal="right" vertical="center"/>
    </xf>
    <xf numFmtId="177" fontId="261" fillId="0" borderId="337" xfId="0" applyNumberFormat="1" applyFont="1" applyFill="1" applyBorder="1" applyAlignment="1" applyProtection="1">
      <alignment horizontal="right" vertical="center"/>
    </xf>
    <xf numFmtId="177" fontId="261" fillId="0" borderId="335" xfId="0" applyNumberFormat="1" applyFont="1" applyFill="1" applyBorder="1" applyAlignment="1" applyProtection="1">
      <alignment horizontal="right" vertical="center"/>
    </xf>
    <xf numFmtId="177" fontId="261" fillId="0" borderId="0" xfId="0" applyNumberFormat="1" applyFont="1" applyFill="1" applyBorder="1" applyAlignment="1" applyProtection="1">
      <alignment horizontal="right" vertical="center"/>
    </xf>
    <xf numFmtId="177" fontId="261" fillId="0" borderId="436" xfId="0" applyNumberFormat="1" applyFont="1" applyFill="1" applyBorder="1" applyAlignment="1" applyProtection="1">
      <alignment horizontal="right" vertical="center"/>
    </xf>
    <xf numFmtId="177" fontId="261" fillId="0" borderId="338" xfId="0" applyNumberFormat="1" applyFont="1" applyFill="1" applyBorder="1" applyAlignment="1" applyProtection="1">
      <alignment horizontal="right" vertical="center"/>
    </xf>
    <xf numFmtId="177" fontId="261" fillId="0" borderId="336" xfId="0" applyNumberFormat="1" applyFont="1" applyFill="1" applyBorder="1" applyAlignment="1" applyProtection="1">
      <alignment horizontal="right" vertical="center"/>
    </xf>
    <xf numFmtId="177" fontId="261" fillId="0" borderId="331" xfId="0" applyNumberFormat="1" applyFont="1" applyBorder="1" applyAlignment="1" applyProtection="1">
      <alignment horizontal="right" vertical="center"/>
    </xf>
    <xf numFmtId="177" fontId="261" fillId="0" borderId="339" xfId="0" applyNumberFormat="1" applyFont="1" applyBorder="1" applyAlignment="1" applyProtection="1">
      <alignment horizontal="right" vertical="center"/>
    </xf>
    <xf numFmtId="177" fontId="261" fillId="0" borderId="332" xfId="0" applyNumberFormat="1" applyFont="1" applyBorder="1" applyAlignment="1" applyProtection="1">
      <alignment horizontal="right" vertical="center"/>
    </xf>
    <xf numFmtId="177" fontId="261" fillId="0" borderId="0" xfId="0" applyNumberFormat="1" applyFont="1" applyBorder="1" applyAlignment="1" applyProtection="1">
      <alignment horizontal="right" vertical="center"/>
    </xf>
    <xf numFmtId="3" fontId="261" fillId="0" borderId="0" xfId="0" applyNumberFormat="1" applyFont="1" applyFill="1" applyBorder="1" applyAlignment="1">
      <alignment horizontal="center"/>
    </xf>
    <xf numFmtId="177" fontId="32" fillId="0" borderId="450" xfId="0" applyNumberFormat="1" applyFont="1" applyFill="1" applyBorder="1" applyAlignment="1" applyProtection="1">
      <alignment horizontal="right" vertical="center"/>
    </xf>
    <xf numFmtId="177" fontId="32" fillId="8" borderId="451" xfId="0" applyNumberFormat="1" applyFont="1" applyFill="1" applyBorder="1" applyAlignment="1" applyProtection="1">
      <alignment horizontal="right" vertical="center"/>
    </xf>
    <xf numFmtId="177" fontId="32" fillId="0" borderId="451" xfId="0" applyNumberFormat="1" applyFont="1" applyFill="1" applyBorder="1" applyAlignment="1" applyProtection="1">
      <alignment horizontal="right" vertical="center"/>
    </xf>
    <xf numFmtId="177" fontId="176" fillId="0" borderId="451" xfId="0" applyNumberFormat="1" applyFont="1" applyFill="1" applyBorder="1" applyAlignment="1" applyProtection="1">
      <alignment horizontal="right" vertical="center"/>
    </xf>
    <xf numFmtId="177" fontId="176" fillId="0" borderId="452" xfId="0" applyNumberFormat="1" applyFont="1" applyFill="1" applyBorder="1" applyAlignment="1" applyProtection="1">
      <alignment horizontal="right" vertical="center"/>
    </xf>
    <xf numFmtId="177" fontId="32" fillId="0" borderId="453" xfId="0" applyNumberFormat="1" applyFont="1" applyFill="1" applyBorder="1" applyAlignment="1" applyProtection="1">
      <alignment horizontal="right" vertical="center"/>
    </xf>
    <xf numFmtId="177" fontId="32" fillId="0" borderId="454" xfId="0" applyNumberFormat="1" applyFont="1" applyFill="1" applyBorder="1" applyAlignment="1" applyProtection="1">
      <alignment horizontal="right" vertical="center"/>
    </xf>
    <xf numFmtId="177" fontId="32" fillId="8" borderId="454" xfId="0" applyNumberFormat="1" applyFont="1" applyFill="1" applyBorder="1" applyAlignment="1" applyProtection="1">
      <alignment horizontal="right" vertical="center"/>
    </xf>
    <xf numFmtId="177" fontId="176" fillId="0" borderId="454" xfId="0" applyNumberFormat="1" applyFont="1" applyFill="1" applyBorder="1" applyAlignment="1" applyProtection="1">
      <alignment horizontal="right" vertical="center"/>
    </xf>
    <xf numFmtId="177" fontId="176" fillId="0" borderId="455" xfId="0" applyNumberFormat="1" applyFont="1" applyFill="1" applyBorder="1" applyAlignment="1" applyProtection="1">
      <alignment horizontal="right" vertical="center"/>
    </xf>
    <xf numFmtId="4" fontId="35" fillId="17" borderId="0" xfId="0" applyNumberFormat="1" applyFont="1" applyFill="1" applyBorder="1"/>
    <xf numFmtId="0" fontId="37" fillId="17" borderId="0" xfId="0" applyFont="1" applyFill="1"/>
    <xf numFmtId="178" fontId="32" fillId="17" borderId="0" xfId="0" applyNumberFormat="1" applyFont="1" applyFill="1"/>
    <xf numFmtId="178" fontId="37" fillId="17" borderId="0" xfId="0" applyNumberFormat="1" applyFont="1" applyFill="1"/>
    <xf numFmtId="3" fontId="32" fillId="17" borderId="0" xfId="0" applyNumberFormat="1" applyFont="1" applyFill="1" applyBorder="1" applyAlignment="1">
      <alignment horizontal="center"/>
    </xf>
    <xf numFmtId="0" fontId="32" fillId="17" borderId="0" xfId="0" applyFont="1" applyFill="1"/>
    <xf numFmtId="3" fontId="32" fillId="18" borderId="234" xfId="0" applyNumberFormat="1" applyFont="1" applyFill="1" applyBorder="1" applyAlignment="1">
      <alignment horizontal="center" vertical="center" wrapText="1"/>
    </xf>
    <xf numFmtId="3" fontId="133" fillId="12" borderId="359" xfId="0" applyNumberFormat="1" applyFont="1" applyFill="1" applyBorder="1" applyAlignment="1">
      <alignment horizontal="center" vertical="center" wrapText="1"/>
    </xf>
    <xf numFmtId="3" fontId="133" fillId="11" borderId="457" xfId="0" applyNumberFormat="1" applyFont="1" applyFill="1" applyBorder="1" applyAlignment="1" applyProtection="1">
      <alignment wrapText="1"/>
      <protection locked="0"/>
    </xf>
    <xf numFmtId="3" fontId="133" fillId="11" borderId="355" xfId="0" applyNumberFormat="1" applyFont="1" applyFill="1" applyBorder="1" applyAlignment="1" applyProtection="1">
      <alignment wrapText="1"/>
      <protection locked="0"/>
    </xf>
    <xf numFmtId="3" fontId="133" fillId="0" borderId="355" xfId="0" applyNumberFormat="1" applyFont="1" applyFill="1" applyBorder="1" applyAlignment="1" applyProtection="1">
      <alignment horizontal="center" vertical="center"/>
    </xf>
    <xf numFmtId="4" fontId="265" fillId="0" borderId="0" xfId="0" applyNumberFormat="1" applyFont="1" applyBorder="1" applyAlignment="1">
      <alignment horizontal="center" vertical="center"/>
    </xf>
    <xf numFmtId="3" fontId="32" fillId="0" borderId="11" xfId="0" applyNumberFormat="1" applyFont="1" applyFill="1" applyBorder="1" applyAlignment="1">
      <alignment horizontal="center" vertical="center" wrapText="1"/>
    </xf>
    <xf numFmtId="0" fontId="0" fillId="0" borderId="0" xfId="0" applyFill="1" applyBorder="1" applyAlignment="1">
      <alignment vertical="center"/>
    </xf>
    <xf numFmtId="3" fontId="263" fillId="18" borderId="458" xfId="0" applyNumberFormat="1" applyFont="1" applyFill="1" applyBorder="1" applyAlignment="1">
      <alignment horizontal="center" vertical="center" wrapText="1"/>
    </xf>
    <xf numFmtId="3" fontId="263" fillId="18" borderId="28" xfId="0" applyNumberFormat="1" applyFont="1" applyFill="1" applyBorder="1" applyAlignment="1">
      <alignment horizontal="center" vertical="center" wrapText="1"/>
    </xf>
    <xf numFmtId="3" fontId="261" fillId="0" borderId="116" xfId="0" applyNumberFormat="1" applyFont="1" applyFill="1" applyBorder="1" applyAlignment="1" applyProtection="1">
      <alignment horizontal="center"/>
    </xf>
    <xf numFmtId="3" fontId="32" fillId="0" borderId="116" xfId="0" applyNumberFormat="1" applyFont="1" applyFill="1" applyBorder="1" applyAlignment="1" applyProtection="1">
      <alignment horizontal="center"/>
    </xf>
    <xf numFmtId="0" fontId="0" fillId="0" borderId="443" xfId="0" applyBorder="1" applyAlignment="1">
      <alignment horizontal="center" wrapText="1"/>
    </xf>
    <xf numFmtId="0" fontId="37" fillId="0" borderId="21" xfId="0" applyFont="1" applyBorder="1" applyAlignment="1">
      <alignment horizontal="center"/>
    </xf>
    <xf numFmtId="3" fontId="32" fillId="0" borderId="11" xfId="0" applyNumberFormat="1" applyFont="1" applyFill="1" applyBorder="1" applyProtection="1">
      <protection locked="0"/>
    </xf>
    <xf numFmtId="3" fontId="32" fillId="0" borderId="11" xfId="0" applyNumberFormat="1" applyFont="1" applyFill="1" applyBorder="1" applyProtection="1"/>
    <xf numFmtId="3" fontId="35" fillId="18" borderId="461" xfId="0" applyNumberFormat="1" applyFont="1" applyFill="1" applyBorder="1" applyAlignment="1">
      <alignment horizontal="center" vertical="center" wrapText="1"/>
    </xf>
    <xf numFmtId="177" fontId="36" fillId="19" borderId="290" xfId="0" applyNumberFormat="1" applyFont="1" applyFill="1" applyBorder="1" applyAlignment="1" applyProtection="1">
      <alignment horizontal="right" vertical="center"/>
      <protection locked="0"/>
    </xf>
    <xf numFmtId="177" fontId="32" fillId="23" borderId="195" xfId="0" applyNumberFormat="1" applyFont="1" applyFill="1" applyBorder="1" applyAlignment="1" applyProtection="1">
      <alignment horizontal="right" vertical="center"/>
    </xf>
    <xf numFmtId="177" fontId="32" fillId="23" borderId="2" xfId="0" applyNumberFormat="1" applyFont="1" applyFill="1" applyBorder="1" applyAlignment="1" applyProtection="1">
      <alignment horizontal="right" vertical="center"/>
    </xf>
    <xf numFmtId="3" fontId="32" fillId="0" borderId="21" xfId="0" applyNumberFormat="1" applyFont="1" applyFill="1" applyBorder="1" applyAlignment="1" applyProtection="1">
      <alignment horizontal="center" vertical="center"/>
    </xf>
    <xf numFmtId="0" fontId="0" fillId="0" borderId="21" xfId="0" applyFill="1" applyBorder="1" applyAlignment="1">
      <alignment vertical="center"/>
    </xf>
    <xf numFmtId="3" fontId="35" fillId="0" borderId="21" xfId="0" applyNumberFormat="1" applyFont="1" applyFill="1" applyBorder="1"/>
    <xf numFmtId="3" fontId="171" fillId="0" borderId="70" xfId="0" applyNumberFormat="1" applyFont="1" applyFill="1" applyBorder="1" applyAlignment="1" applyProtection="1">
      <alignment vertical="center"/>
      <protection locked="0"/>
    </xf>
    <xf numFmtId="3" fontId="36" fillId="0" borderId="70" xfId="0" applyNumberFormat="1" applyFont="1" applyFill="1" applyBorder="1" applyAlignment="1">
      <alignment vertical="center"/>
    </xf>
    <xf numFmtId="3" fontId="36" fillId="0" borderId="70" xfId="0" applyNumberFormat="1" applyFont="1" applyFill="1" applyBorder="1" applyAlignment="1" applyProtection="1">
      <alignment vertical="center"/>
      <protection locked="0"/>
    </xf>
    <xf numFmtId="3" fontId="42" fillId="0" borderId="0" xfId="0" applyNumberFormat="1" applyFont="1" applyFill="1" applyBorder="1" applyAlignment="1">
      <alignment vertical="center"/>
    </xf>
    <xf numFmtId="3" fontId="34" fillId="0" borderId="0" xfId="0" applyNumberFormat="1" applyFont="1" applyFill="1" applyBorder="1" applyAlignment="1">
      <alignment vertical="center"/>
    </xf>
    <xf numFmtId="3" fontId="32" fillId="0" borderId="70" xfId="0" applyNumberFormat="1" applyFont="1" applyFill="1" applyBorder="1" applyAlignment="1">
      <alignment horizontal="left" vertical="center"/>
    </xf>
    <xf numFmtId="3" fontId="32" fillId="0" borderId="70" xfId="0" applyNumberFormat="1" applyFont="1" applyFill="1" applyBorder="1" applyAlignment="1">
      <alignment vertical="center"/>
    </xf>
    <xf numFmtId="3" fontId="36" fillId="0" borderId="0" xfId="0" applyNumberFormat="1" applyFont="1" applyFill="1" applyBorder="1" applyAlignment="1">
      <alignment vertical="center"/>
    </xf>
    <xf numFmtId="3" fontId="43" fillId="0" borderId="0" xfId="0" applyNumberFormat="1" applyFont="1" applyFill="1" applyBorder="1" applyAlignment="1" applyProtection="1">
      <alignment vertical="center"/>
      <protection locked="0"/>
    </xf>
    <xf numFmtId="3" fontId="35" fillId="0" borderId="188" xfId="0" applyNumberFormat="1" applyFont="1" applyFill="1" applyBorder="1" applyAlignment="1">
      <alignment vertical="center" wrapText="1"/>
    </xf>
    <xf numFmtId="3" fontId="32" fillId="0" borderId="188" xfId="0" applyNumberFormat="1" applyFont="1" applyFill="1" applyBorder="1" applyAlignment="1">
      <alignment vertical="center"/>
    </xf>
    <xf numFmtId="3" fontId="265" fillId="0" borderId="0" xfId="0" applyNumberFormat="1" applyFont="1" applyAlignment="1">
      <alignment horizontal="left" vertical="center"/>
    </xf>
    <xf numFmtId="174" fontId="32" fillId="0" borderId="463" xfId="0" applyNumberFormat="1" applyFont="1" applyFill="1" applyBorder="1" applyAlignment="1">
      <alignment horizontal="right" vertical="center"/>
    </xf>
    <xf numFmtId="0" fontId="36" fillId="0" borderId="0" xfId="0" applyFont="1" applyFill="1" applyAlignment="1">
      <alignment vertical="center"/>
    </xf>
    <xf numFmtId="0" fontId="32" fillId="0" borderId="0" xfId="0" applyFont="1" applyFill="1" applyBorder="1" applyAlignment="1">
      <alignment horizontal="left" vertical="center"/>
    </xf>
    <xf numFmtId="3" fontId="32" fillId="0" borderId="0" xfId="0" applyNumberFormat="1" applyFont="1" applyFill="1" applyBorder="1" applyAlignment="1">
      <alignment vertical="center"/>
    </xf>
    <xf numFmtId="174" fontId="32" fillId="22" borderId="173" xfId="0" applyNumberFormat="1" applyFont="1" applyFill="1" applyBorder="1" applyAlignment="1">
      <alignment vertical="center"/>
    </xf>
    <xf numFmtId="174" fontId="32" fillId="22" borderId="119" xfId="0" applyNumberFormat="1" applyFont="1" applyFill="1" applyBorder="1" applyAlignment="1">
      <alignment horizontal="right" vertical="center"/>
    </xf>
    <xf numFmtId="174" fontId="32" fillId="25" borderId="9" xfId="0" applyNumberFormat="1" applyFont="1" applyFill="1" applyBorder="1" applyAlignment="1">
      <alignment horizontal="right" vertical="center"/>
    </xf>
    <xf numFmtId="177" fontId="37" fillId="19" borderId="105" xfId="0" applyNumberFormat="1" applyFont="1" applyFill="1" applyBorder="1" applyAlignment="1" applyProtection="1">
      <alignment horizontal="center" vertical="center"/>
      <protection locked="0"/>
    </xf>
    <xf numFmtId="3" fontId="37" fillId="0" borderId="71" xfId="0" applyNumberFormat="1" applyFont="1" applyFill="1" applyBorder="1" applyAlignment="1">
      <alignment vertical="center"/>
    </xf>
    <xf numFmtId="3" fontId="37" fillId="0" borderId="89" xfId="0" applyNumberFormat="1" applyFont="1" applyFill="1" applyBorder="1" applyAlignment="1">
      <alignment vertical="center"/>
    </xf>
    <xf numFmtId="177" fontId="37" fillId="19" borderId="218" xfId="0" applyNumberFormat="1" applyFont="1" applyFill="1" applyBorder="1" applyAlignment="1" applyProtection="1">
      <alignment horizontal="center" vertical="center"/>
      <protection locked="0"/>
    </xf>
    <xf numFmtId="177" fontId="37" fillId="19" borderId="103" xfId="0" applyNumberFormat="1" applyFont="1" applyFill="1" applyBorder="1" applyAlignment="1" applyProtection="1">
      <alignment horizontal="center" vertical="center"/>
      <protection locked="0"/>
    </xf>
    <xf numFmtId="177" fontId="37" fillId="19" borderId="216" xfId="0" applyNumberFormat="1" applyFont="1" applyFill="1" applyBorder="1" applyAlignment="1" applyProtection="1">
      <alignment horizontal="center" vertical="center"/>
      <protection locked="0"/>
    </xf>
    <xf numFmtId="3" fontId="37" fillId="0" borderId="218" xfId="0" applyNumberFormat="1" applyFont="1" applyBorder="1" applyAlignment="1">
      <alignment vertical="center"/>
    </xf>
    <xf numFmtId="3" fontId="37" fillId="0" borderId="103" xfId="0" applyNumberFormat="1" applyFont="1" applyBorder="1" applyAlignment="1">
      <alignment vertical="center"/>
    </xf>
    <xf numFmtId="3" fontId="37" fillId="0" borderId="216" xfId="0" applyNumberFormat="1" applyFont="1" applyBorder="1" applyAlignment="1">
      <alignment vertical="center"/>
    </xf>
    <xf numFmtId="3" fontId="32" fillId="22" borderId="289" xfId="0" applyNumberFormat="1" applyFont="1" applyFill="1" applyBorder="1" applyAlignment="1">
      <alignment vertical="center"/>
    </xf>
    <xf numFmtId="3" fontId="32" fillId="22" borderId="464" xfId="0" applyNumberFormat="1" applyFont="1" applyFill="1" applyBorder="1" applyAlignment="1">
      <alignment vertical="center"/>
    </xf>
    <xf numFmtId="3" fontId="32" fillId="20" borderId="6" xfId="0" applyNumberFormat="1" applyFont="1" applyFill="1" applyBorder="1" applyAlignment="1">
      <alignment vertical="center"/>
    </xf>
    <xf numFmtId="177" fontId="32" fillId="20" borderId="17" xfId="0" applyNumberFormat="1" applyFont="1" applyFill="1" applyBorder="1" applyAlignment="1">
      <alignment horizontal="right" vertical="center" wrapText="1"/>
    </xf>
    <xf numFmtId="0" fontId="32" fillId="17" borderId="0" xfId="0" applyFont="1" applyFill="1" applyBorder="1" applyAlignment="1">
      <alignment vertical="center"/>
    </xf>
    <xf numFmtId="174" fontId="32" fillId="17" borderId="0" xfId="0" applyNumberFormat="1" applyFont="1" applyFill="1" applyBorder="1" applyAlignment="1">
      <alignment horizontal="right" vertical="center"/>
    </xf>
    <xf numFmtId="3" fontId="32" fillId="17" borderId="0" xfId="0" applyNumberFormat="1" applyFont="1" applyFill="1" applyBorder="1" applyAlignment="1">
      <alignment horizontal="left" vertical="center"/>
    </xf>
    <xf numFmtId="0" fontId="36" fillId="17" borderId="0" xfId="0" applyFont="1" applyFill="1" applyBorder="1" applyAlignment="1">
      <alignment vertical="center"/>
    </xf>
    <xf numFmtId="0" fontId="36" fillId="17" borderId="0" xfId="0" applyFont="1" applyFill="1" applyAlignment="1">
      <alignment vertical="center"/>
    </xf>
    <xf numFmtId="0" fontId="32" fillId="17" borderId="0" xfId="0" applyFont="1" applyFill="1" applyBorder="1" applyAlignment="1">
      <alignment horizontal="left" vertical="center"/>
    </xf>
    <xf numFmtId="3" fontId="36" fillId="17" borderId="0" xfId="0" applyNumberFormat="1" applyFont="1" applyFill="1" applyBorder="1" applyAlignment="1">
      <alignment vertical="center"/>
    </xf>
    <xf numFmtId="3" fontId="32" fillId="17" borderId="0" xfId="0" applyNumberFormat="1" applyFont="1" applyFill="1" applyBorder="1" applyAlignment="1">
      <alignment vertical="center"/>
    </xf>
    <xf numFmtId="3" fontId="41" fillId="17" borderId="0" xfId="0" applyNumberFormat="1" applyFont="1" applyFill="1" applyBorder="1" applyAlignment="1">
      <alignment vertical="center"/>
    </xf>
    <xf numFmtId="174" fontId="133" fillId="0" borderId="0" xfId="0" applyNumberFormat="1" applyFont="1" applyFill="1" applyBorder="1" applyAlignment="1">
      <alignment vertical="center"/>
    </xf>
    <xf numFmtId="3" fontId="35" fillId="17" borderId="0" xfId="0" applyNumberFormat="1" applyFont="1" applyFill="1" applyBorder="1" applyAlignment="1">
      <alignment vertical="center"/>
    </xf>
    <xf numFmtId="3" fontId="40" fillId="17" borderId="0" xfId="0" applyNumberFormat="1" applyFont="1" applyFill="1" applyBorder="1" applyAlignment="1">
      <alignment vertical="center"/>
    </xf>
    <xf numFmtId="3" fontId="32" fillId="17" borderId="0" xfId="0" applyNumberFormat="1" applyFont="1" applyFill="1" applyBorder="1" applyAlignment="1">
      <alignment horizontal="center" vertical="center"/>
    </xf>
    <xf numFmtId="174" fontId="32" fillId="17" borderId="0" xfId="0" applyNumberFormat="1" applyFont="1" applyFill="1" applyBorder="1" applyAlignment="1">
      <alignment vertical="center"/>
    </xf>
    <xf numFmtId="174" fontId="133" fillId="17" borderId="0" xfId="0" applyNumberFormat="1" applyFont="1" applyFill="1" applyBorder="1" applyAlignment="1">
      <alignment vertical="center"/>
    </xf>
    <xf numFmtId="174" fontId="32" fillId="17" borderId="0" xfId="0" applyNumberFormat="1" applyFont="1" applyFill="1" applyBorder="1" applyAlignment="1" applyProtection="1">
      <alignment vertical="center"/>
    </xf>
    <xf numFmtId="166" fontId="36" fillId="19" borderId="81" xfId="5" applyNumberFormat="1" applyFont="1" applyFill="1" applyBorder="1" applyAlignment="1" applyProtection="1">
      <alignment vertical="center"/>
      <protection locked="0"/>
    </xf>
    <xf numFmtId="166" fontId="171" fillId="12" borderId="81" xfId="0" applyNumberFormat="1" applyFont="1" applyFill="1" applyBorder="1" applyAlignment="1" applyProtection="1">
      <alignment horizontal="right" vertical="center"/>
    </xf>
    <xf numFmtId="166" fontId="36" fillId="19" borderId="396" xfId="0" applyNumberFormat="1" applyFont="1" applyFill="1" applyBorder="1" applyAlignment="1" applyProtection="1">
      <alignment horizontal="right" vertical="center"/>
      <protection locked="0"/>
    </xf>
    <xf numFmtId="166" fontId="36" fillId="0" borderId="463" xfId="5" applyNumberFormat="1" applyFont="1" applyFill="1" applyBorder="1" applyAlignment="1" applyProtection="1">
      <alignment vertical="center"/>
      <protection locked="0"/>
    </xf>
    <xf numFmtId="166" fontId="36" fillId="0" borderId="0" xfId="5" applyNumberFormat="1" applyFont="1" applyFill="1" applyBorder="1" applyAlignment="1" applyProtection="1">
      <alignment vertical="center"/>
      <protection locked="0"/>
    </xf>
    <xf numFmtId="174" fontId="271" fillId="25" borderId="466" xfId="0" applyNumberFormat="1" applyFont="1" applyFill="1" applyBorder="1" applyAlignment="1">
      <alignment horizontal="center" vertical="center"/>
    </xf>
    <xf numFmtId="0" fontId="272" fillId="25" borderId="467" xfId="0" applyFont="1" applyFill="1" applyBorder="1" applyAlignment="1">
      <alignment horizontal="center" vertical="center"/>
    </xf>
    <xf numFmtId="3" fontId="272" fillId="25" borderId="467" xfId="0" applyNumberFormat="1" applyFont="1" applyFill="1" applyBorder="1" applyAlignment="1">
      <alignment vertical="center"/>
    </xf>
    <xf numFmtId="9" fontId="254" fillId="25" borderId="468" xfId="5" applyFont="1" applyFill="1" applyBorder="1" applyAlignment="1">
      <alignment horizontal="center" vertical="center" wrapText="1"/>
    </xf>
    <xf numFmtId="174" fontId="271" fillId="25" borderId="469" xfId="0" applyNumberFormat="1" applyFont="1" applyFill="1" applyBorder="1" applyAlignment="1">
      <alignment horizontal="center" vertical="center"/>
    </xf>
    <xf numFmtId="0" fontId="272" fillId="25" borderId="470" xfId="0" applyFont="1" applyFill="1" applyBorder="1" applyAlignment="1">
      <alignment horizontal="center" vertical="center"/>
    </xf>
    <xf numFmtId="3" fontId="272" fillId="25" borderId="470" xfId="0" applyNumberFormat="1" applyFont="1" applyFill="1" applyBorder="1" applyAlignment="1">
      <alignment vertical="center"/>
    </xf>
    <xf numFmtId="9" fontId="254" fillId="25" borderId="471" xfId="5" applyFont="1" applyFill="1" applyBorder="1" applyAlignment="1">
      <alignment horizontal="center" vertical="center" wrapText="1"/>
    </xf>
    <xf numFmtId="174" fontId="272" fillId="0" borderId="472" xfId="0" applyNumberFormat="1" applyFont="1" applyFill="1" applyBorder="1" applyAlignment="1">
      <alignment horizontal="center" vertical="center"/>
    </xf>
    <xf numFmtId="0" fontId="272" fillId="0" borderId="473" xfId="0" applyFont="1" applyFill="1" applyBorder="1" applyAlignment="1">
      <alignment horizontal="center" vertical="center"/>
    </xf>
    <xf numFmtId="3" fontId="272" fillId="0" borderId="473" xfId="0" applyNumberFormat="1" applyFont="1" applyFill="1" applyBorder="1" applyAlignment="1">
      <alignment horizontal="center" vertical="center"/>
    </xf>
    <xf numFmtId="9" fontId="269" fillId="0" borderId="474" xfId="5" applyFont="1" applyFill="1" applyBorder="1" applyAlignment="1">
      <alignment horizontal="center" vertical="center"/>
    </xf>
    <xf numFmtId="174" fontId="4"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9" fontId="35" fillId="0" borderId="35" xfId="5" applyFont="1" applyFill="1" applyBorder="1" applyAlignment="1">
      <alignment horizontal="center" vertical="center" wrapText="1"/>
    </xf>
    <xf numFmtId="9" fontId="269" fillId="4" borderId="474" xfId="5" applyFont="1" applyFill="1" applyBorder="1" applyAlignment="1">
      <alignment horizontal="center" vertical="center"/>
    </xf>
    <xf numFmtId="174" fontId="98" fillId="0" borderId="0" xfId="0" applyNumberFormat="1" applyFont="1" applyFill="1" applyBorder="1" applyAlignment="1">
      <alignment vertical="center"/>
    </xf>
    <xf numFmtId="3" fontId="98" fillId="0" borderId="0" xfId="0" applyNumberFormat="1" applyFont="1" applyFill="1" applyBorder="1" applyAlignment="1">
      <alignment vertical="center"/>
    </xf>
    <xf numFmtId="9" fontId="98" fillId="0" borderId="0" xfId="5" applyFont="1" applyFill="1" applyBorder="1" applyAlignment="1">
      <alignment vertical="center"/>
    </xf>
    <xf numFmtId="9" fontId="99" fillId="0" borderId="0" xfId="5" applyFont="1" applyFill="1" applyBorder="1" applyAlignment="1">
      <alignment vertical="center"/>
    </xf>
    <xf numFmtId="174" fontId="269" fillId="0" borderId="0" xfId="0" applyNumberFormat="1" applyFont="1" applyFill="1" applyBorder="1" applyAlignment="1">
      <alignment vertical="center"/>
    </xf>
    <xf numFmtId="3" fontId="269" fillId="0" borderId="0" xfId="0" applyNumberFormat="1" applyFont="1" applyFill="1" applyBorder="1" applyAlignment="1">
      <alignment vertical="center"/>
    </xf>
    <xf numFmtId="9" fontId="269" fillId="0" borderId="0" xfId="5" applyFont="1" applyFill="1" applyBorder="1" applyAlignment="1">
      <alignment vertical="center"/>
    </xf>
    <xf numFmtId="3" fontId="252" fillId="0" borderId="0" xfId="0" applyNumberFormat="1" applyFont="1" applyAlignment="1">
      <alignment horizontal="left" vertical="center"/>
    </xf>
    <xf numFmtId="4" fontId="252" fillId="0" borderId="0" xfId="0" applyNumberFormat="1" applyFont="1" applyBorder="1" applyAlignment="1">
      <alignment horizontal="center" vertical="center"/>
    </xf>
    <xf numFmtId="3" fontId="252" fillId="0" borderId="0" xfId="0" applyNumberFormat="1" applyFont="1" applyBorder="1" applyAlignment="1">
      <alignment horizontal="center" vertical="center"/>
    </xf>
    <xf numFmtId="177" fontId="36" fillId="10" borderId="386" xfId="0" applyNumberFormat="1" applyFont="1" applyFill="1" applyBorder="1" applyAlignment="1" applyProtection="1">
      <alignment horizontal="right" vertical="center"/>
      <protection locked="0"/>
    </xf>
    <xf numFmtId="0" fontId="233" fillId="0" borderId="0" xfId="0" applyFont="1" applyFill="1" applyAlignment="1">
      <alignment horizontal="center" vertical="center" wrapText="1"/>
    </xf>
    <xf numFmtId="180" fontId="32" fillId="0" borderId="0" xfId="0" applyNumberFormat="1" applyFont="1" applyFill="1" applyBorder="1" applyAlignment="1" applyProtection="1">
      <alignment horizontal="center" vertical="center"/>
    </xf>
    <xf numFmtId="3" fontId="49" fillId="21" borderId="148" xfId="0" applyNumberFormat="1" applyFont="1" applyFill="1" applyBorder="1" applyAlignment="1">
      <alignment horizontal="center" vertical="center"/>
    </xf>
    <xf numFmtId="174" fontId="32" fillId="22" borderId="81" xfId="0" applyNumberFormat="1" applyFont="1" applyFill="1" applyBorder="1" applyAlignment="1">
      <alignment vertical="center"/>
    </xf>
    <xf numFmtId="174" fontId="124" fillId="12" borderId="81" xfId="0" applyNumberFormat="1" applyFont="1" applyFill="1" applyBorder="1" applyAlignment="1" applyProtection="1">
      <alignment vertical="center"/>
    </xf>
    <xf numFmtId="174" fontId="36" fillId="0" borderId="81" xfId="0" applyNumberFormat="1" applyFont="1" applyFill="1" applyBorder="1" applyAlignment="1">
      <alignment vertical="center"/>
    </xf>
    <xf numFmtId="174" fontId="36" fillId="19" borderId="81" xfId="0" applyNumberFormat="1" applyFont="1" applyFill="1" applyBorder="1" applyAlignment="1" applyProtection="1">
      <alignment vertical="center"/>
      <protection locked="0"/>
    </xf>
    <xf numFmtId="174" fontId="36" fillId="0" borderId="81" xfId="0" applyNumberFormat="1" applyFont="1" applyFill="1" applyBorder="1" applyAlignment="1" applyProtection="1">
      <alignment vertical="center"/>
    </xf>
    <xf numFmtId="174" fontId="36" fillId="0" borderId="81" xfId="0" applyNumberFormat="1" applyFont="1" applyFill="1" applyBorder="1" applyAlignment="1" applyProtection="1">
      <alignment vertical="center"/>
      <protection locked="0"/>
    </xf>
    <xf numFmtId="174" fontId="36" fillId="0" borderId="81" xfId="0" applyNumberFormat="1" applyFont="1" applyBorder="1" applyAlignment="1">
      <alignment vertical="center"/>
    </xf>
    <xf numFmtId="174" fontId="32" fillId="0" borderId="81" xfId="0" applyNumberFormat="1" applyFont="1" applyBorder="1" applyAlignment="1">
      <alignment vertical="center"/>
    </xf>
    <xf numFmtId="174" fontId="32" fillId="20" borderId="392" xfId="0" applyNumberFormat="1" applyFont="1" applyFill="1" applyBorder="1" applyAlignment="1">
      <alignment vertical="center"/>
    </xf>
    <xf numFmtId="174" fontId="32" fillId="22" borderId="82" xfId="0" applyNumberFormat="1" applyFont="1" applyFill="1" applyBorder="1" applyAlignment="1">
      <alignment vertical="center"/>
    </xf>
    <xf numFmtId="174" fontId="124" fillId="0" borderId="82" xfId="0" applyNumberFormat="1" applyFont="1" applyFill="1" applyBorder="1" applyAlignment="1" applyProtection="1">
      <alignment vertical="center"/>
    </xf>
    <xf numFmtId="174" fontId="36" fillId="0" borderId="82" xfId="0" applyNumberFormat="1" applyFont="1" applyFill="1" applyBorder="1" applyAlignment="1">
      <alignment vertical="center"/>
    </xf>
    <xf numFmtId="174" fontId="36" fillId="19" borderId="82" xfId="0" applyNumberFormat="1" applyFont="1" applyFill="1" applyBorder="1" applyAlignment="1" applyProtection="1">
      <alignment vertical="center"/>
      <protection locked="0"/>
    </xf>
    <xf numFmtId="174" fontId="36" fillId="10" borderId="82" xfId="0" applyNumberFormat="1" applyFont="1" applyFill="1" applyBorder="1" applyAlignment="1" applyProtection="1">
      <alignment vertical="center"/>
      <protection locked="0"/>
    </xf>
    <xf numFmtId="174" fontId="36" fillId="0" borderId="82" xfId="0" applyNumberFormat="1" applyFont="1" applyFill="1" applyBorder="1" applyAlignment="1" applyProtection="1">
      <alignment vertical="center"/>
    </xf>
    <xf numFmtId="174" fontId="36" fillId="0" borderId="82" xfId="0" applyNumberFormat="1" applyFont="1" applyFill="1" applyBorder="1" applyAlignment="1" applyProtection="1">
      <alignment vertical="center"/>
      <protection locked="0"/>
    </xf>
    <xf numFmtId="174" fontId="36" fillId="19" borderId="82" xfId="0" applyNumberFormat="1" applyFont="1" applyFill="1" applyBorder="1" applyAlignment="1" applyProtection="1">
      <alignment vertical="center"/>
    </xf>
    <xf numFmtId="174" fontId="36" fillId="0" borderId="82" xfId="0" applyNumberFormat="1" applyFont="1" applyBorder="1" applyAlignment="1">
      <alignment vertical="center"/>
    </xf>
    <xf numFmtId="174" fontId="32" fillId="0" borderId="82" xfId="0" applyNumberFormat="1" applyFont="1" applyBorder="1" applyAlignment="1">
      <alignment vertical="center"/>
    </xf>
    <xf numFmtId="174" fontId="32" fillId="22" borderId="273" xfId="0" applyNumberFormat="1" applyFont="1" applyFill="1" applyBorder="1" applyAlignment="1">
      <alignment vertical="center"/>
    </xf>
    <xf numFmtId="174" fontId="32" fillId="22" borderId="14" xfId="0" applyNumberFormat="1" applyFont="1" applyFill="1" applyBorder="1" applyAlignment="1">
      <alignment vertical="center"/>
    </xf>
    <xf numFmtId="174" fontId="124" fillId="0" borderId="14" xfId="0" applyNumberFormat="1" applyFont="1" applyFill="1" applyBorder="1" applyAlignment="1" applyProtection="1">
      <alignment vertical="center"/>
    </xf>
    <xf numFmtId="174" fontId="36" fillId="0" borderId="14" xfId="0" applyNumberFormat="1" applyFont="1" applyFill="1" applyBorder="1" applyAlignment="1">
      <alignment vertical="center"/>
    </xf>
    <xf numFmtId="174" fontId="36" fillId="19" borderId="14" xfId="0" applyNumberFormat="1" applyFont="1" applyFill="1" applyBorder="1" applyAlignment="1" applyProtection="1">
      <alignment vertical="center"/>
      <protection locked="0"/>
    </xf>
    <xf numFmtId="174" fontId="36" fillId="0" borderId="14" xfId="0" applyNumberFormat="1" applyFont="1" applyFill="1" applyBorder="1" applyAlignment="1" applyProtection="1">
      <alignment vertical="center"/>
    </xf>
    <xf numFmtId="174" fontId="36" fillId="0" borderId="14" xfId="0" applyNumberFormat="1" applyFont="1" applyFill="1" applyBorder="1" applyAlignment="1" applyProtection="1">
      <alignment vertical="center"/>
      <protection locked="0"/>
    </xf>
    <xf numFmtId="174" fontId="36" fillId="0" borderId="14" xfId="0" applyNumberFormat="1" applyFont="1" applyBorder="1" applyAlignment="1">
      <alignment vertical="center"/>
    </xf>
    <xf numFmtId="174" fontId="32" fillId="0" borderId="14" xfId="0" applyNumberFormat="1" applyFont="1" applyBorder="1" applyAlignment="1">
      <alignment vertical="center"/>
    </xf>
    <xf numFmtId="174" fontId="36" fillId="3" borderId="14" xfId="0" applyNumberFormat="1" applyFont="1" applyFill="1" applyBorder="1" applyAlignment="1" applyProtection="1">
      <alignment vertical="center"/>
      <protection locked="0"/>
    </xf>
    <xf numFmtId="174" fontId="32" fillId="20" borderId="23" xfId="0" applyNumberFormat="1" applyFont="1" applyFill="1" applyBorder="1" applyAlignment="1">
      <alignment vertical="center"/>
    </xf>
    <xf numFmtId="174" fontId="36" fillId="3" borderId="82" xfId="0" applyNumberFormat="1" applyFont="1" applyFill="1" applyBorder="1" applyAlignment="1" applyProtection="1">
      <alignment vertical="center"/>
      <protection locked="0"/>
    </xf>
    <xf numFmtId="3" fontId="32" fillId="21" borderId="475" xfId="0" applyNumberFormat="1" applyFont="1" applyFill="1" applyBorder="1" applyAlignment="1">
      <alignment horizontal="center" vertical="center"/>
    </xf>
    <xf numFmtId="3" fontId="32" fillId="21" borderId="476" xfId="0" applyNumberFormat="1" applyFont="1" applyFill="1" applyBorder="1" applyAlignment="1">
      <alignment horizontal="center" vertical="center"/>
    </xf>
    <xf numFmtId="3" fontId="32" fillId="21" borderId="477" xfId="0" applyNumberFormat="1" applyFont="1" applyFill="1" applyBorder="1" applyAlignment="1">
      <alignment horizontal="center" vertical="center"/>
    </xf>
    <xf numFmtId="3" fontId="39" fillId="18" borderId="478" xfId="0" applyNumberFormat="1" applyFont="1" applyFill="1" applyBorder="1" applyAlignment="1">
      <alignment horizontal="right" vertical="center"/>
    </xf>
    <xf numFmtId="3" fontId="43" fillId="0" borderId="80" xfId="0" applyNumberFormat="1" applyFont="1" applyFill="1" applyBorder="1" applyProtection="1"/>
    <xf numFmtId="3" fontId="43" fillId="0" borderId="70" xfId="0" applyNumberFormat="1" applyFont="1" applyFill="1" applyBorder="1" applyProtection="1"/>
    <xf numFmtId="3" fontId="252" fillId="0" borderId="0" xfId="0" applyNumberFormat="1" applyFont="1" applyFill="1" applyBorder="1" applyAlignment="1" applyProtection="1">
      <alignment horizontal="center" vertical="center"/>
    </xf>
    <xf numFmtId="180" fontId="32" fillId="25" borderId="482" xfId="0" applyNumberFormat="1" applyFont="1" applyFill="1" applyBorder="1" applyAlignment="1" applyProtection="1">
      <alignment horizontal="center" vertical="center"/>
    </xf>
    <xf numFmtId="0" fontId="119" fillId="24" borderId="0" xfId="0" applyFont="1" applyFill="1" applyBorder="1" applyProtection="1"/>
    <xf numFmtId="0" fontId="0" fillId="24" borderId="0" xfId="0" applyFill="1"/>
    <xf numFmtId="10" fontId="36" fillId="19" borderId="132" xfId="0" applyNumberFormat="1" applyFont="1" applyFill="1" applyBorder="1" applyAlignment="1" applyProtection="1">
      <alignment horizontal="center" vertical="center"/>
      <protection locked="0"/>
    </xf>
    <xf numFmtId="10" fontId="36" fillId="19" borderId="88" xfId="0" applyNumberFormat="1" applyFont="1" applyFill="1" applyBorder="1" applyAlignment="1" applyProtection="1">
      <alignment horizontal="center" vertical="center"/>
      <protection locked="0"/>
    </xf>
    <xf numFmtId="0" fontId="32" fillId="21" borderId="234" xfId="0" applyFont="1" applyFill="1" applyBorder="1" applyAlignment="1">
      <alignment horizontal="center" vertical="center" wrapText="1"/>
    </xf>
    <xf numFmtId="3" fontId="32" fillId="21" borderId="483" xfId="0" applyNumberFormat="1" applyFont="1" applyFill="1" applyBorder="1" applyAlignment="1" applyProtection="1">
      <alignment horizontal="center" vertical="center"/>
    </xf>
    <xf numFmtId="174" fontId="32" fillId="22" borderId="244" xfId="0" applyNumberFormat="1" applyFont="1" applyFill="1" applyBorder="1" applyProtection="1"/>
    <xf numFmtId="177" fontId="36" fillId="19" borderId="22" xfId="0" applyNumberFormat="1" applyFont="1" applyFill="1" applyBorder="1" applyProtection="1">
      <protection locked="0"/>
    </xf>
    <xf numFmtId="177" fontId="32" fillId="22" borderId="22" xfId="0" applyNumberFormat="1" applyFont="1" applyFill="1" applyBorder="1" applyProtection="1"/>
    <xf numFmtId="177" fontId="36" fillId="0" borderId="22" xfId="0" applyNumberFormat="1" applyFont="1" applyFill="1" applyBorder="1" applyProtection="1">
      <protection locked="0"/>
    </xf>
    <xf numFmtId="177" fontId="174" fillId="4" borderId="22" xfId="0" applyNumberFormat="1" applyFont="1" applyFill="1" applyBorder="1" applyProtection="1"/>
    <xf numFmtId="177" fontId="163" fillId="19" borderId="22" xfId="0" applyNumberFormat="1" applyFont="1" applyFill="1" applyBorder="1" applyProtection="1">
      <protection locked="0"/>
    </xf>
    <xf numFmtId="177" fontId="36" fillId="0" borderId="0" xfId="0" applyNumberFormat="1" applyFont="1" applyFill="1" applyBorder="1" applyProtection="1">
      <protection locked="0"/>
    </xf>
    <xf numFmtId="177" fontId="36" fillId="0" borderId="89" xfId="0" applyNumberFormat="1" applyFont="1" applyFill="1" applyBorder="1" applyProtection="1"/>
    <xf numFmtId="177" fontId="32" fillId="0" borderId="22" xfId="0" applyNumberFormat="1" applyFont="1" applyFill="1" applyBorder="1" applyProtection="1"/>
    <xf numFmtId="3" fontId="32" fillId="21" borderId="484" xfId="0" applyNumberFormat="1" applyFont="1" applyFill="1" applyBorder="1" applyAlignment="1" applyProtection="1">
      <alignment horizontal="center" vertical="center"/>
    </xf>
    <xf numFmtId="177" fontId="32" fillId="0" borderId="309" xfId="0" applyNumberFormat="1" applyFont="1" applyFill="1" applyBorder="1" applyProtection="1"/>
    <xf numFmtId="177" fontId="32" fillId="0" borderId="173" xfId="0" applyNumberFormat="1" applyFont="1" applyFill="1" applyBorder="1" applyProtection="1"/>
    <xf numFmtId="177" fontId="32" fillId="0" borderId="50" xfId="0" applyNumberFormat="1" applyFont="1" applyFill="1" applyBorder="1" applyProtection="1"/>
    <xf numFmtId="177" fontId="164" fillId="0" borderId="50" xfId="0" applyNumberFormat="1" applyFont="1" applyFill="1" applyBorder="1" applyProtection="1"/>
    <xf numFmtId="177" fontId="32" fillId="22" borderId="50" xfId="0" applyNumberFormat="1" applyFont="1" applyFill="1" applyBorder="1" applyProtection="1"/>
    <xf numFmtId="177" fontId="32" fillId="4" borderId="50" xfId="0" applyNumberFormat="1" applyFont="1" applyFill="1" applyBorder="1" applyProtection="1"/>
    <xf numFmtId="177" fontId="36" fillId="0" borderId="50" xfId="0" applyNumberFormat="1" applyFont="1" applyFill="1" applyBorder="1" applyProtection="1"/>
    <xf numFmtId="177" fontId="32" fillId="0" borderId="48" xfId="0" applyNumberFormat="1" applyFont="1" applyFill="1" applyBorder="1" applyProtection="1"/>
    <xf numFmtId="3" fontId="32" fillId="21" borderId="485" xfId="0" applyNumberFormat="1" applyFont="1" applyFill="1" applyBorder="1" applyAlignment="1" applyProtection="1">
      <alignment horizontal="center" vertical="center"/>
    </xf>
    <xf numFmtId="177" fontId="174" fillId="19" borderId="22" xfId="0" applyNumberFormat="1" applyFont="1" applyFill="1" applyBorder="1" applyProtection="1">
      <protection locked="0"/>
    </xf>
    <xf numFmtId="177" fontId="150" fillId="0" borderId="50" xfId="0" applyNumberFormat="1" applyFont="1" applyFill="1" applyBorder="1" applyProtection="1"/>
    <xf numFmtId="177" fontId="175" fillId="0" borderId="50" xfId="0" applyNumberFormat="1" applyFont="1" applyFill="1" applyBorder="1" applyProtection="1"/>
    <xf numFmtId="3" fontId="33" fillId="18" borderId="159" xfId="0" applyNumberFormat="1" applyFont="1" applyFill="1" applyBorder="1" applyAlignment="1" applyProtection="1">
      <alignment horizontal="left"/>
    </xf>
    <xf numFmtId="174" fontId="32" fillId="20" borderId="22" xfId="0" applyNumberFormat="1" applyFont="1" applyFill="1" applyBorder="1" applyProtection="1"/>
    <xf numFmtId="174" fontId="32" fillId="22" borderId="21" xfId="0" applyNumberFormat="1" applyFont="1" applyFill="1" applyBorder="1" applyProtection="1"/>
    <xf numFmtId="180" fontId="32" fillId="25" borderId="119" xfId="0" applyNumberFormat="1" applyFont="1" applyFill="1" applyBorder="1" applyAlignment="1" applyProtection="1">
      <alignment horizontal="center" vertical="center"/>
    </xf>
    <xf numFmtId="3" fontId="43" fillId="17" borderId="0" xfId="0" applyNumberFormat="1" applyFont="1" applyFill="1" applyBorder="1" applyProtection="1"/>
    <xf numFmtId="3" fontId="39" fillId="17" borderId="0" xfId="0" applyNumberFormat="1" applyFont="1" applyFill="1" applyBorder="1" applyAlignment="1" applyProtection="1">
      <alignment horizontal="center" vertical="center"/>
    </xf>
    <xf numFmtId="3" fontId="39" fillId="17" borderId="0" xfId="0" applyNumberFormat="1" applyFont="1" applyFill="1" applyBorder="1" applyProtection="1"/>
    <xf numFmtId="3" fontId="140" fillId="17" borderId="0" xfId="0" applyNumberFormat="1" applyFont="1" applyFill="1" applyBorder="1" applyProtection="1"/>
    <xf numFmtId="0" fontId="0" fillId="0" borderId="0" xfId="0" applyBorder="1" applyAlignment="1"/>
    <xf numFmtId="0" fontId="0" fillId="0" borderId="0" xfId="0"/>
    <xf numFmtId="9" fontId="37" fillId="0" borderId="0" xfId="5" applyNumberFormat="1" applyFont="1" applyFill="1" applyBorder="1" applyAlignment="1" applyProtection="1">
      <alignment horizontal="right" vertical="center"/>
      <protection locked="0"/>
    </xf>
    <xf numFmtId="8" fontId="76" fillId="0" borderId="0" xfId="5" applyNumberFormat="1" applyFont="1" applyFill="1" applyBorder="1" applyAlignment="1" applyProtection="1">
      <alignment horizontal="center" vertical="center"/>
    </xf>
    <xf numFmtId="8" fontId="32" fillId="12" borderId="486" xfId="0" applyNumberFormat="1" applyFont="1" applyFill="1" applyBorder="1" applyAlignment="1" applyProtection="1">
      <alignment horizontal="center" vertical="center"/>
    </xf>
    <xf numFmtId="8" fontId="76" fillId="0" borderId="0" xfId="5" applyNumberFormat="1" applyFont="1" applyFill="1" applyBorder="1" applyAlignment="1" applyProtection="1">
      <alignment horizontal="center" vertical="center" wrapText="1"/>
    </xf>
    <xf numFmtId="8" fontId="32" fillId="0" borderId="486" xfId="0" applyNumberFormat="1" applyFont="1" applyFill="1" applyBorder="1" applyAlignment="1" applyProtection="1">
      <alignment horizontal="left"/>
    </xf>
    <xf numFmtId="8" fontId="52" fillId="0" borderId="32" xfId="0" applyNumberFormat="1" applyFont="1" applyFill="1" applyBorder="1" applyProtection="1"/>
    <xf numFmtId="0" fontId="17" fillId="0" borderId="0" xfId="0" applyFont="1" applyFill="1" applyBorder="1" applyAlignment="1">
      <alignment horizontal="center" vertical="center" wrapText="1"/>
    </xf>
    <xf numFmtId="9" fontId="37" fillId="0" borderId="0" xfId="0" applyNumberFormat="1" applyFont="1" applyFill="1" applyBorder="1" applyAlignment="1" applyProtection="1">
      <alignment horizontal="right" vertical="center"/>
      <protection locked="0"/>
    </xf>
    <xf numFmtId="8" fontId="32" fillId="0" borderId="0" xfId="0" applyNumberFormat="1"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0" fillId="0" borderId="0" xfId="0" applyFill="1" applyBorder="1" applyAlignment="1">
      <alignment horizontal="center" vertical="center"/>
    </xf>
    <xf numFmtId="8" fontId="91" fillId="21" borderId="148" xfId="5" applyNumberFormat="1" applyFont="1" applyFill="1" applyBorder="1" applyAlignment="1" applyProtection="1">
      <alignment horizontal="center" vertical="center" wrapText="1"/>
    </xf>
    <xf numFmtId="0" fontId="0" fillId="0" borderId="0" xfId="0"/>
    <xf numFmtId="8" fontId="92" fillId="23" borderId="487" xfId="5" applyNumberFormat="1" applyFont="1" applyFill="1" applyBorder="1" applyAlignment="1" applyProtection="1">
      <alignment horizontal="center" vertical="center" wrapText="1"/>
    </xf>
    <xf numFmtId="8" fontId="90" fillId="23" borderId="489" xfId="5" applyNumberFormat="1" applyFont="1" applyFill="1" applyBorder="1" applyAlignment="1" applyProtection="1">
      <alignment horizontal="center" vertical="center" wrapText="1"/>
    </xf>
    <xf numFmtId="8" fontId="92" fillId="23" borderId="488" xfId="5" applyNumberFormat="1" applyFont="1" applyFill="1" applyBorder="1" applyAlignment="1" applyProtection="1">
      <alignment horizontal="center" vertical="center" wrapText="1"/>
    </xf>
    <xf numFmtId="8" fontId="92" fillId="23" borderId="490" xfId="5" applyNumberFormat="1" applyFont="1" applyFill="1" applyBorder="1" applyAlignment="1" applyProtection="1">
      <alignment horizontal="center" vertical="center" wrapText="1"/>
    </xf>
    <xf numFmtId="3" fontId="32" fillId="18" borderId="491" xfId="0" applyNumberFormat="1" applyFont="1" applyFill="1" applyBorder="1" applyAlignment="1">
      <alignment horizontal="center" vertical="center"/>
    </xf>
    <xf numFmtId="0" fontId="36" fillId="0" borderId="2" xfId="0" applyFont="1" applyFill="1" applyBorder="1" applyAlignment="1" applyProtection="1">
      <alignment vertical="center"/>
    </xf>
    <xf numFmtId="0" fontId="92" fillId="21" borderId="147" xfId="0" applyFont="1" applyFill="1" applyBorder="1" applyAlignment="1" applyProtection="1">
      <alignment horizontal="left" vertical="center"/>
    </xf>
    <xf numFmtId="3" fontId="36" fillId="0" borderId="289" xfId="0" applyNumberFormat="1" applyFont="1" applyFill="1" applyBorder="1" applyAlignment="1">
      <alignment vertical="center"/>
    </xf>
    <xf numFmtId="3" fontId="36" fillId="0" borderId="289" xfId="0" applyNumberFormat="1" applyFont="1" applyBorder="1" applyAlignment="1">
      <alignment vertical="center"/>
    </xf>
    <xf numFmtId="3" fontId="36" fillId="19" borderId="289" xfId="0" applyNumberFormat="1" applyFont="1" applyFill="1" applyBorder="1" applyAlignment="1" applyProtection="1">
      <alignment vertical="center"/>
      <protection locked="0"/>
    </xf>
    <xf numFmtId="3" fontId="36" fillId="0" borderId="289" xfId="0" applyNumberFormat="1" applyFont="1" applyFill="1" applyBorder="1" applyAlignment="1" applyProtection="1">
      <alignment vertical="center"/>
      <protection locked="0"/>
    </xf>
    <xf numFmtId="3" fontId="32" fillId="0" borderId="289" xfId="0" applyNumberFormat="1" applyFont="1" applyBorder="1" applyAlignment="1">
      <alignment vertical="center"/>
    </xf>
    <xf numFmtId="3" fontId="36" fillId="24" borderId="289" xfId="0" applyNumberFormat="1" applyFont="1" applyFill="1" applyBorder="1" applyAlignment="1">
      <alignment vertical="center"/>
    </xf>
    <xf numFmtId="0" fontId="36" fillId="0" borderId="289" xfId="0" applyFont="1" applyFill="1" applyBorder="1" applyAlignment="1" applyProtection="1">
      <alignment horizontal="left" vertical="center"/>
    </xf>
    <xf numFmtId="0" fontId="36" fillId="0" borderId="289" xfId="0" applyFont="1" applyFill="1" applyBorder="1" applyAlignment="1" applyProtection="1">
      <alignment vertical="center"/>
    </xf>
    <xf numFmtId="0" fontId="36" fillId="0" borderId="494" xfId="0" applyFont="1" applyFill="1" applyBorder="1" applyAlignment="1" applyProtection="1">
      <alignment vertical="center"/>
    </xf>
    <xf numFmtId="0" fontId="36" fillId="0" borderId="290" xfId="0" applyFont="1" applyFill="1" applyBorder="1" applyAlignment="1" applyProtection="1">
      <alignment vertical="center"/>
    </xf>
    <xf numFmtId="0" fontId="92" fillId="21" borderId="147" xfId="0" applyFont="1" applyFill="1" applyBorder="1" applyAlignment="1" applyProtection="1">
      <alignment vertical="center"/>
    </xf>
    <xf numFmtId="0" fontId="36" fillId="0" borderId="494" xfId="0" applyFont="1" applyFill="1" applyBorder="1" applyAlignment="1" applyProtection="1">
      <alignment horizontal="left" vertical="center"/>
    </xf>
    <xf numFmtId="172" fontId="43" fillId="19" borderId="160" xfId="0" applyNumberFormat="1" applyFont="1" applyFill="1" applyBorder="1" applyAlignment="1" applyProtection="1">
      <alignment horizontal="center" vertical="center"/>
      <protection locked="0"/>
    </xf>
    <xf numFmtId="172" fontId="43" fillId="19" borderId="158" xfId="5" applyNumberFormat="1" applyFont="1" applyFill="1" applyBorder="1" applyAlignment="1" applyProtection="1">
      <alignment horizontal="center" vertical="center"/>
      <protection locked="0"/>
    </xf>
    <xf numFmtId="174" fontId="43" fillId="19" borderId="173" xfId="5" applyNumberFormat="1" applyFont="1" applyFill="1" applyBorder="1" applyAlignment="1" applyProtection="1">
      <alignment horizontal="right" vertical="center"/>
      <protection locked="0"/>
    </xf>
    <xf numFmtId="174" fontId="43" fillId="19" borderId="50" xfId="0" applyNumberFormat="1" applyFont="1" applyFill="1" applyBorder="1" applyAlignment="1" applyProtection="1">
      <alignment horizontal="right" vertical="center"/>
      <protection locked="0"/>
    </xf>
    <xf numFmtId="174" fontId="43" fillId="19" borderId="492" xfId="5" applyNumberFormat="1" applyFont="1" applyFill="1" applyBorder="1" applyAlignment="1" applyProtection="1">
      <alignment vertical="center"/>
      <protection locked="0"/>
    </xf>
    <xf numFmtId="174" fontId="43" fillId="19" borderId="50" xfId="5" applyNumberFormat="1" applyFont="1" applyFill="1" applyBorder="1" applyAlignment="1" applyProtection="1">
      <alignment vertical="center"/>
      <protection locked="0"/>
    </xf>
    <xf numFmtId="174" fontId="43" fillId="19" borderId="173" xfId="5" applyNumberFormat="1" applyFont="1" applyFill="1" applyBorder="1" applyAlignment="1" applyProtection="1">
      <alignment vertical="center"/>
      <protection locked="0"/>
    </xf>
    <xf numFmtId="174" fontId="43" fillId="19" borderId="198" xfId="5" applyNumberFormat="1" applyFont="1" applyFill="1" applyBorder="1" applyAlignment="1" applyProtection="1">
      <alignment vertical="center"/>
      <protection locked="0"/>
    </xf>
    <xf numFmtId="174" fontId="43" fillId="19" borderId="493" xfId="5" applyNumberFormat="1" applyFont="1" applyFill="1" applyBorder="1" applyAlignment="1" applyProtection="1">
      <alignment vertical="center"/>
      <protection locked="0"/>
    </xf>
    <xf numFmtId="174" fontId="43" fillId="19" borderId="234" xfId="5" applyNumberFormat="1" applyFont="1" applyFill="1" applyBorder="1" applyAlignment="1" applyProtection="1">
      <alignment vertical="center"/>
      <protection locked="0"/>
    </xf>
    <xf numFmtId="172" fontId="43" fillId="19" borderId="498" xfId="0" applyNumberFormat="1" applyFont="1" applyFill="1" applyBorder="1" applyAlignment="1" applyProtection="1">
      <alignment horizontal="center" vertical="center"/>
      <protection locked="0"/>
    </xf>
    <xf numFmtId="174" fontId="36" fillId="0" borderId="301" xfId="5" applyNumberFormat="1" applyFont="1" applyFill="1" applyBorder="1" applyProtection="1"/>
    <xf numFmtId="174" fontId="36" fillId="0" borderId="301" xfId="5" applyNumberFormat="1" applyFont="1" applyFill="1" applyBorder="1" applyAlignment="1" applyProtection="1">
      <alignment horizontal="right"/>
      <protection hidden="1"/>
    </xf>
    <xf numFmtId="174" fontId="36" fillId="0" borderId="300" xfId="0" applyNumberFormat="1" applyFont="1" applyFill="1" applyBorder="1" applyAlignment="1" applyProtection="1">
      <alignment horizontal="right"/>
    </xf>
    <xf numFmtId="174" fontId="36" fillId="0" borderId="41" xfId="0" applyNumberFormat="1" applyFont="1" applyFill="1" applyBorder="1" applyAlignment="1" applyProtection="1">
      <alignment horizontal="right"/>
    </xf>
    <xf numFmtId="178" fontId="42" fillId="0" borderId="0" xfId="0" applyNumberFormat="1" applyFont="1" applyFill="1" applyBorder="1" applyAlignment="1" applyProtection="1">
      <alignment vertical="center"/>
    </xf>
    <xf numFmtId="178" fontId="42" fillId="0" borderId="0" xfId="0" applyNumberFormat="1" applyFont="1" applyFill="1" applyBorder="1" applyAlignment="1" applyProtection="1"/>
    <xf numFmtId="178" fontId="39" fillId="0" borderId="0" xfId="0" applyNumberFormat="1" applyFont="1" applyFill="1" applyBorder="1" applyAlignment="1" applyProtection="1"/>
    <xf numFmtId="178" fontId="32" fillId="0" borderId="0" xfId="5" applyNumberFormat="1" applyFont="1" applyFill="1" applyBorder="1" applyAlignment="1" applyProtection="1">
      <alignment horizontal="center" vertical="center"/>
    </xf>
    <xf numFmtId="178" fontId="76" fillId="0" borderId="0" xfId="5" applyNumberFormat="1" applyFont="1" applyFill="1" applyBorder="1" applyAlignment="1" applyProtection="1">
      <alignment horizontal="center" vertical="center"/>
    </xf>
    <xf numFmtId="178" fontId="17" fillId="0" borderId="0" xfId="0" applyNumberFormat="1" applyFont="1" applyFill="1" applyBorder="1" applyAlignment="1">
      <alignment horizontal="center" vertical="center"/>
    </xf>
    <xf numFmtId="178" fontId="37" fillId="0" borderId="0" xfId="5" applyNumberFormat="1" applyFont="1" applyFill="1" applyBorder="1" applyAlignment="1" applyProtection="1">
      <alignment horizontal="right" vertical="center"/>
      <protection locked="0"/>
    </xf>
    <xf numFmtId="178" fontId="37" fillId="0" borderId="0" xfId="0" applyNumberFormat="1" applyFont="1" applyFill="1" applyBorder="1" applyAlignment="1" applyProtection="1">
      <alignment horizontal="right" vertical="center"/>
      <protection locked="0"/>
    </xf>
    <xf numFmtId="178" fontId="32" fillId="0" borderId="0" xfId="0" applyNumberFormat="1" applyFont="1" applyFill="1" applyBorder="1" applyAlignment="1" applyProtection="1">
      <alignment vertical="center"/>
    </xf>
    <xf numFmtId="178" fontId="125" fillId="0" borderId="0" xfId="0" applyNumberFormat="1" applyFont="1" applyFill="1" applyBorder="1" applyAlignment="1" applyProtection="1">
      <alignment horizontal="center" vertical="center"/>
    </xf>
    <xf numFmtId="178" fontId="139" fillId="0" borderId="0" xfId="0" applyNumberFormat="1" applyFont="1" applyFill="1" applyBorder="1" applyAlignment="1" applyProtection="1">
      <alignment horizontal="center" vertical="center"/>
    </xf>
    <xf numFmtId="178" fontId="0" fillId="0" borderId="0" xfId="0" applyNumberFormat="1" applyFill="1" applyBorder="1" applyAlignment="1">
      <alignment horizontal="center" vertical="center"/>
    </xf>
    <xf numFmtId="178" fontId="36" fillId="0" borderId="0" xfId="5" applyNumberFormat="1" applyFont="1" applyFill="1" applyBorder="1" applyAlignment="1" applyProtection="1">
      <alignment vertical="center"/>
      <protection locked="0"/>
    </xf>
    <xf numFmtId="178" fontId="43" fillId="0" borderId="0" xfId="0" applyNumberFormat="1" applyFont="1" applyFill="1" applyBorder="1" applyAlignment="1" applyProtection="1"/>
    <xf numFmtId="178" fontId="43" fillId="0" borderId="0" xfId="0" applyNumberFormat="1" applyFont="1" applyFill="1" applyBorder="1" applyAlignment="1" applyProtection="1">
      <alignment vertical="center"/>
    </xf>
    <xf numFmtId="178" fontId="191" fillId="0" borderId="0" xfId="0" applyNumberFormat="1" applyFont="1" applyFill="1" applyBorder="1" applyAlignment="1" applyProtection="1">
      <alignment horizontal="center" vertical="center"/>
    </xf>
    <xf numFmtId="178" fontId="171" fillId="0" borderId="0" xfId="0" applyNumberFormat="1" applyFont="1" applyFill="1" applyBorder="1" applyAlignment="1" applyProtection="1">
      <alignment horizontal="center"/>
    </xf>
    <xf numFmtId="178" fontId="189" fillId="0" borderId="0" xfId="0" applyNumberFormat="1" applyFont="1" applyFill="1" applyBorder="1" applyAlignment="1" applyProtection="1">
      <alignment horizontal="center"/>
    </xf>
    <xf numFmtId="178" fontId="32" fillId="0" borderId="0" xfId="0" applyNumberFormat="1" applyFont="1" applyFill="1" applyBorder="1" applyAlignment="1" applyProtection="1">
      <alignment horizontal="right" vertical="center"/>
    </xf>
    <xf numFmtId="178" fontId="32" fillId="0" borderId="0" xfId="0" applyNumberFormat="1" applyFont="1" applyFill="1" applyBorder="1" applyAlignment="1" applyProtection="1">
      <alignment horizontal="right"/>
    </xf>
    <xf numFmtId="178" fontId="32" fillId="0" borderId="0" xfId="0" applyNumberFormat="1" applyFont="1" applyFill="1" applyBorder="1" applyAlignment="1" applyProtection="1">
      <alignment horizontal="center" vertical="center"/>
    </xf>
    <xf numFmtId="178" fontId="32" fillId="0" borderId="0" xfId="0" applyNumberFormat="1" applyFont="1" applyFill="1" applyBorder="1" applyAlignment="1" applyProtection="1">
      <alignment horizontal="left"/>
    </xf>
    <xf numFmtId="178" fontId="52" fillId="0" borderId="0" xfId="0" applyNumberFormat="1" applyFont="1" applyFill="1" applyBorder="1" applyAlignment="1" applyProtection="1"/>
    <xf numFmtId="178" fontId="32" fillId="0" borderId="0" xfId="0" applyNumberFormat="1" applyFont="1" applyFill="1" applyBorder="1" applyAlignment="1" applyProtection="1"/>
    <xf numFmtId="178" fontId="126" fillId="0" borderId="0" xfId="0" applyNumberFormat="1" applyFont="1" applyFill="1" applyBorder="1" applyAlignment="1" applyProtection="1"/>
    <xf numFmtId="0" fontId="119" fillId="0" borderId="0" xfId="0" applyFont="1" applyFill="1" applyBorder="1" applyAlignment="1" applyProtection="1"/>
    <xf numFmtId="0" fontId="39" fillId="0" borderId="0" xfId="0" applyFont="1" applyFill="1" applyBorder="1" applyAlignment="1" applyProtection="1"/>
    <xf numFmtId="8" fontId="32" fillId="0" borderId="0" xfId="5" applyNumberFormat="1" applyFont="1" applyFill="1" applyBorder="1" applyAlignment="1" applyProtection="1">
      <alignment horizontal="center" vertical="center"/>
    </xf>
    <xf numFmtId="8" fontId="90" fillId="0" borderId="0" xfId="5" applyNumberFormat="1" applyFont="1" applyFill="1" applyBorder="1" applyAlignment="1" applyProtection="1">
      <alignment horizontal="center" vertical="center" wrapText="1"/>
    </xf>
    <xf numFmtId="9" fontId="36" fillId="0" borderId="0" xfId="5" applyNumberFormat="1" applyFont="1" applyFill="1" applyBorder="1" applyAlignment="1" applyProtection="1">
      <alignment horizontal="right" vertical="center"/>
      <protection locked="0"/>
    </xf>
    <xf numFmtId="9" fontId="36" fillId="0" borderId="0" xfId="0" applyNumberFormat="1" applyFont="1" applyFill="1" applyBorder="1" applyAlignment="1" applyProtection="1">
      <alignment horizontal="right" vertical="center"/>
      <protection locked="0"/>
    </xf>
    <xf numFmtId="174" fontId="43" fillId="0" borderId="160" xfId="0" applyNumberFormat="1" applyFont="1" applyFill="1" applyBorder="1" applyAlignment="1" applyProtection="1">
      <alignment horizontal="center" vertical="center"/>
      <protection locked="0"/>
    </xf>
    <xf numFmtId="174" fontId="43" fillId="0" borderId="193" xfId="0" applyNumberFormat="1" applyFont="1" applyFill="1" applyBorder="1" applyAlignment="1" applyProtection="1">
      <alignment horizontal="center" vertical="center"/>
      <protection locked="0"/>
    </xf>
    <xf numFmtId="174" fontId="32" fillId="21" borderId="142" xfId="0" applyNumberFormat="1" applyFont="1" applyFill="1" applyBorder="1" applyAlignment="1" applyProtection="1">
      <alignment vertical="center"/>
    </xf>
    <xf numFmtId="174" fontId="32" fillId="21" borderId="157" xfId="0" applyNumberFormat="1" applyFont="1" applyFill="1" applyBorder="1" applyAlignment="1" applyProtection="1">
      <alignment vertical="center"/>
    </xf>
    <xf numFmtId="174" fontId="43" fillId="0" borderId="498" xfId="0" applyNumberFormat="1" applyFont="1" applyFill="1" applyBorder="1" applyAlignment="1" applyProtection="1">
      <alignment horizontal="center" vertical="center"/>
      <protection locked="0"/>
    </xf>
    <xf numFmtId="174" fontId="43" fillId="0" borderId="487" xfId="0" applyNumberFormat="1" applyFont="1" applyFill="1" applyBorder="1" applyAlignment="1" applyProtection="1">
      <alignment horizontal="center" vertical="center"/>
      <protection locked="0"/>
    </xf>
    <xf numFmtId="174" fontId="32" fillId="21" borderId="141" xfId="0" applyNumberFormat="1" applyFont="1" applyFill="1" applyBorder="1" applyAlignment="1" applyProtection="1">
      <alignment horizontal="center" vertical="center"/>
    </xf>
    <xf numFmtId="174" fontId="36" fillId="19" borderId="159" xfId="0" applyNumberFormat="1" applyFont="1" applyFill="1" applyBorder="1" applyAlignment="1" applyProtection="1">
      <alignment vertical="center"/>
      <protection locked="0"/>
    </xf>
    <xf numFmtId="174" fontId="36" fillId="19" borderId="230" xfId="0" applyNumberFormat="1" applyFont="1" applyFill="1" applyBorder="1" applyAlignment="1" applyProtection="1">
      <alignment vertical="center"/>
      <protection locked="0"/>
    </xf>
    <xf numFmtId="0" fontId="32" fillId="21" borderId="147" xfId="0" applyFont="1" applyFill="1" applyBorder="1" applyAlignment="1" applyProtection="1">
      <alignment vertical="center"/>
    </xf>
    <xf numFmtId="0" fontId="43" fillId="0" borderId="0" xfId="0" applyFont="1" applyFill="1" applyBorder="1" applyAlignment="1" applyProtection="1"/>
    <xf numFmtId="0" fontId="36" fillId="0" borderId="0" xfId="0" applyFont="1" applyFill="1" applyBorder="1" applyAlignment="1" applyProtection="1">
      <alignment horizontal="left" vertical="center"/>
    </xf>
    <xf numFmtId="0" fontId="36" fillId="0" borderId="491" xfId="0" applyFont="1" applyFill="1" applyBorder="1" applyAlignment="1" applyProtection="1">
      <alignment vertical="center"/>
    </xf>
    <xf numFmtId="174" fontId="43" fillId="19" borderId="501" xfId="5" applyNumberFormat="1" applyFont="1" applyFill="1" applyBorder="1" applyAlignment="1" applyProtection="1">
      <alignment vertical="center"/>
      <protection locked="0"/>
    </xf>
    <xf numFmtId="8" fontId="92" fillId="0" borderId="0"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36" fillId="0" borderId="503" xfId="0" applyFont="1" applyFill="1" applyBorder="1" applyAlignment="1" applyProtection="1">
      <alignment horizontal="left" vertical="center"/>
    </xf>
    <xf numFmtId="174" fontId="43" fillId="0" borderId="498" xfId="5" applyNumberFormat="1" applyFont="1" applyFill="1" applyBorder="1" applyAlignment="1" applyProtection="1">
      <alignment horizontal="center" vertical="center"/>
      <protection locked="0"/>
    </xf>
    <xf numFmtId="172" fontId="43" fillId="19" borderId="498" xfId="5" applyNumberFormat="1" applyFont="1" applyFill="1" applyBorder="1" applyAlignment="1" applyProtection="1">
      <alignment horizontal="center" vertical="center"/>
      <protection locked="0"/>
    </xf>
    <xf numFmtId="174" fontId="43" fillId="19" borderId="493" xfId="5" applyNumberFormat="1" applyFont="1" applyFill="1" applyBorder="1" applyAlignment="1" applyProtection="1">
      <alignment horizontal="right" vertical="center"/>
      <protection locked="0"/>
    </xf>
    <xf numFmtId="174" fontId="43" fillId="19" borderId="490" xfId="5" applyNumberFormat="1" applyFont="1" applyFill="1" applyBorder="1" applyAlignment="1" applyProtection="1">
      <alignment horizontal="right" vertical="center"/>
      <protection locked="0"/>
    </xf>
    <xf numFmtId="174" fontId="32" fillId="21" borderId="141" xfId="0" applyNumberFormat="1" applyFont="1" applyFill="1" applyBorder="1" applyAlignment="1" applyProtection="1">
      <alignment vertical="center"/>
    </xf>
    <xf numFmtId="174" fontId="32" fillId="21" borderId="139" xfId="0" applyNumberFormat="1" applyFont="1" applyFill="1" applyBorder="1" applyAlignment="1" applyProtection="1">
      <alignment vertical="center"/>
    </xf>
    <xf numFmtId="172" fontId="43" fillId="19" borderId="230" xfId="5" applyNumberFormat="1" applyFont="1" applyFill="1" applyBorder="1" applyAlignment="1" applyProtection="1">
      <alignment horizontal="center" vertical="center"/>
      <protection locked="0"/>
    </xf>
    <xf numFmtId="0" fontId="36" fillId="0" borderId="0" xfId="0" applyFont="1" applyFill="1" applyBorder="1" applyAlignment="1" applyProtection="1">
      <alignment vertical="center"/>
    </xf>
    <xf numFmtId="0" fontId="32" fillId="21" borderId="149" xfId="0" applyFont="1" applyFill="1" applyBorder="1" applyAlignment="1" applyProtection="1">
      <alignment vertical="center"/>
    </xf>
    <xf numFmtId="174" fontId="274" fillId="21" borderId="148" xfId="0" applyNumberFormat="1" applyFont="1" applyFill="1" applyBorder="1" applyAlignment="1" applyProtection="1">
      <alignment horizontal="center" vertical="center"/>
    </xf>
    <xf numFmtId="0" fontId="36" fillId="0" borderId="83" xfId="0" applyFont="1" applyFill="1" applyBorder="1" applyProtection="1"/>
    <xf numFmtId="0" fontId="36" fillId="0" borderId="13" xfId="0" applyFont="1" applyFill="1" applyBorder="1" applyProtection="1"/>
    <xf numFmtId="0" fontId="36" fillId="0" borderId="12" xfId="0" applyFont="1" applyFill="1" applyBorder="1" applyProtection="1"/>
    <xf numFmtId="8" fontId="190" fillId="18" borderId="354" xfId="0" applyNumberFormat="1" applyFont="1" applyFill="1" applyBorder="1" applyAlignment="1" applyProtection="1">
      <alignment horizontal="center" vertical="center" wrapText="1"/>
    </xf>
    <xf numFmtId="8" fontId="190" fillId="18" borderId="358" xfId="0" applyNumberFormat="1" applyFont="1" applyFill="1" applyBorder="1" applyAlignment="1" applyProtection="1">
      <alignment horizontal="center" vertical="center" wrapText="1"/>
    </xf>
    <xf numFmtId="0" fontId="190" fillId="18" borderId="358" xfId="0" applyFont="1" applyFill="1" applyBorder="1" applyAlignment="1" applyProtection="1">
      <alignment horizontal="center" vertical="center" wrapText="1"/>
    </xf>
    <xf numFmtId="8" fontId="190" fillId="18" borderId="356" xfId="0" applyNumberFormat="1" applyFont="1" applyFill="1" applyBorder="1" applyAlignment="1" applyProtection="1">
      <alignment horizontal="center" vertical="center" wrapText="1"/>
    </xf>
    <xf numFmtId="0" fontId="32" fillId="21" borderId="7" xfId="0" applyFont="1" applyFill="1" applyBorder="1" applyAlignment="1" applyProtection="1">
      <alignment horizontal="left" vertical="center"/>
    </xf>
    <xf numFmtId="174" fontId="32" fillId="21" borderId="16" xfId="0" applyNumberFormat="1" applyFont="1" applyFill="1" applyBorder="1" applyAlignment="1" applyProtection="1">
      <alignment horizontal="right" vertical="center"/>
    </xf>
    <xf numFmtId="166" fontId="32" fillId="21" borderId="17" xfId="0" applyNumberFormat="1" applyFont="1" applyFill="1" applyBorder="1" applyAlignment="1">
      <alignment vertical="center"/>
    </xf>
    <xf numFmtId="177" fontId="190" fillId="21" borderId="355" xfId="0" applyNumberFormat="1" applyFont="1" applyFill="1" applyBorder="1" applyAlignment="1" applyProtection="1">
      <alignment horizontal="right" vertical="center"/>
    </xf>
    <xf numFmtId="177" fontId="190" fillId="21" borderId="214" xfId="0" applyNumberFormat="1" applyFont="1" applyFill="1" applyBorder="1" applyAlignment="1" applyProtection="1">
      <alignment horizontal="right" vertical="center"/>
    </xf>
    <xf numFmtId="0" fontId="190" fillId="21" borderId="214" xfId="0" applyFont="1" applyFill="1" applyBorder="1" applyAlignment="1" applyProtection="1">
      <alignment horizontal="right" vertical="center"/>
    </xf>
    <xf numFmtId="177" fontId="190" fillId="21" borderId="357" xfId="0" applyNumberFormat="1" applyFont="1" applyFill="1" applyBorder="1" applyAlignment="1" applyProtection="1">
      <alignment horizontal="right" vertical="center"/>
    </xf>
    <xf numFmtId="0" fontId="32" fillId="21" borderId="7" xfId="0" applyFont="1" applyFill="1" applyBorder="1" applyAlignment="1" applyProtection="1">
      <alignment horizontal="left" vertical="center" wrapText="1"/>
    </xf>
    <xf numFmtId="174" fontId="32" fillId="21" borderId="18" xfId="0" applyNumberFormat="1" applyFont="1" applyFill="1" applyBorder="1" applyAlignment="1" applyProtection="1">
      <alignment horizontal="right" vertical="center"/>
    </xf>
    <xf numFmtId="177" fontId="190" fillId="21" borderId="354" xfId="0" applyNumberFormat="1" applyFont="1" applyFill="1" applyBorder="1" applyProtection="1"/>
    <xf numFmtId="177" fontId="190" fillId="21" borderId="358" xfId="0" applyNumberFormat="1" applyFont="1" applyFill="1" applyBorder="1" applyProtection="1"/>
    <xf numFmtId="168" fontId="190" fillId="21" borderId="358" xfId="0" applyNumberFormat="1" applyFont="1" applyFill="1" applyBorder="1" applyProtection="1"/>
    <xf numFmtId="174" fontId="190" fillId="21" borderId="356" xfId="0" applyNumberFormat="1" applyFont="1" applyFill="1" applyBorder="1" applyProtection="1"/>
    <xf numFmtId="0" fontId="32" fillId="22" borderId="139" xfId="0" applyFont="1" applyFill="1" applyBorder="1" applyAlignment="1" applyProtection="1">
      <alignment horizontal="left"/>
    </xf>
    <xf numFmtId="174" fontId="32" fillId="22" borderId="140" xfId="0" applyNumberFormat="1" applyFont="1" applyFill="1" applyBorder="1" applyAlignment="1" applyProtection="1">
      <alignment horizontal="right"/>
    </xf>
    <xf numFmtId="166" fontId="32" fillId="22" borderId="17" xfId="0" applyNumberFormat="1" applyFont="1" applyFill="1" applyBorder="1" applyAlignment="1">
      <alignment vertical="center"/>
    </xf>
    <xf numFmtId="0" fontId="0" fillId="0" borderId="263" xfId="0" applyBorder="1"/>
    <xf numFmtId="174" fontId="32" fillId="0" borderId="263" xfId="0" applyNumberFormat="1" applyFont="1" applyFill="1" applyBorder="1" applyAlignment="1" applyProtection="1">
      <alignment vertical="center"/>
    </xf>
    <xf numFmtId="0" fontId="32" fillId="21" borderId="149" xfId="0" applyFont="1" applyFill="1" applyBorder="1" applyAlignment="1" applyProtection="1">
      <alignment vertical="center" wrapText="1"/>
    </xf>
    <xf numFmtId="174" fontId="125" fillId="4" borderId="148" xfId="0" applyNumberFormat="1" applyFont="1" applyFill="1" applyBorder="1" applyAlignment="1" applyProtection="1">
      <alignment horizontal="center" vertical="center"/>
    </xf>
    <xf numFmtId="174" fontId="277" fillId="4" borderId="148" xfId="0" applyNumberFormat="1" applyFont="1" applyFill="1" applyBorder="1" applyAlignment="1" applyProtection="1">
      <alignment horizontal="center" vertical="center"/>
    </xf>
    <xf numFmtId="174" fontId="125" fillId="0" borderId="11" xfId="0" applyNumberFormat="1" applyFont="1" applyFill="1" applyBorder="1" applyAlignment="1" applyProtection="1">
      <alignment horizontal="center" vertical="center"/>
    </xf>
    <xf numFmtId="0" fontId="278" fillId="0" borderId="0" xfId="0" applyFont="1" applyFill="1" applyBorder="1" applyAlignment="1">
      <alignment horizontal="center" vertical="center"/>
    </xf>
    <xf numFmtId="0" fontId="32" fillId="22" borderId="74" xfId="0" applyFont="1" applyFill="1" applyBorder="1" applyAlignment="1" applyProtection="1">
      <alignment horizontal="center" vertical="center"/>
    </xf>
    <xf numFmtId="0" fontId="0" fillId="22" borderId="89" xfId="0" applyFill="1" applyBorder="1"/>
    <xf numFmtId="8" fontId="76" fillId="22" borderId="89" xfId="5" applyNumberFormat="1" applyFont="1" applyFill="1" applyBorder="1" applyAlignment="1" applyProtection="1">
      <alignment horizontal="center" vertical="center" wrapText="1"/>
    </xf>
    <xf numFmtId="3" fontId="32" fillId="22" borderId="74" xfId="0" applyNumberFormat="1" applyFont="1" applyFill="1" applyBorder="1" applyAlignment="1">
      <alignment horizontal="center" vertical="center"/>
    </xf>
    <xf numFmtId="8" fontId="90" fillId="22" borderId="89" xfId="5" applyNumberFormat="1" applyFont="1" applyFill="1" applyBorder="1" applyAlignment="1" applyProtection="1">
      <alignment horizontal="center" vertical="center" wrapText="1"/>
    </xf>
    <xf numFmtId="174" fontId="273" fillId="22" borderId="75" xfId="5" applyNumberFormat="1" applyFont="1" applyFill="1" applyBorder="1" applyAlignment="1" applyProtection="1">
      <alignment horizontal="center" vertical="center" wrapText="1"/>
    </xf>
    <xf numFmtId="8" fontId="139" fillId="0" borderId="0" xfId="5" applyNumberFormat="1" applyFont="1" applyFill="1" applyBorder="1" applyAlignment="1" applyProtection="1">
      <alignment horizontal="center" vertical="center"/>
    </xf>
    <xf numFmtId="0" fontId="218" fillId="0" borderId="0" xfId="0" applyFont="1" applyFill="1" applyBorder="1" applyAlignment="1" applyProtection="1">
      <alignment horizontal="center" vertical="center"/>
    </xf>
    <xf numFmtId="0" fontId="217" fillId="0" borderId="0" xfId="0" applyFont="1" applyFill="1" applyBorder="1" applyAlignment="1">
      <alignment horizontal="center" vertical="center"/>
    </xf>
    <xf numFmtId="8" fontId="91" fillId="0" borderId="0" xfId="5" applyNumberFormat="1" applyFont="1" applyFill="1" applyBorder="1" applyAlignment="1" applyProtection="1">
      <alignment horizontal="center" vertical="center" wrapText="1"/>
    </xf>
    <xf numFmtId="172" fontId="43" fillId="0" borderId="0" xfId="5" applyNumberFormat="1" applyFont="1" applyFill="1" applyBorder="1" applyAlignment="1" applyProtection="1">
      <alignment horizontal="center" vertical="center"/>
      <protection locked="0"/>
    </xf>
    <xf numFmtId="172" fontId="43" fillId="0" borderId="0" xfId="0" applyNumberFormat="1" applyFont="1" applyFill="1" applyBorder="1" applyAlignment="1" applyProtection="1">
      <alignment horizontal="center" vertical="center"/>
      <protection locked="0"/>
    </xf>
    <xf numFmtId="174" fontId="32" fillId="21" borderId="16" xfId="0" applyNumberFormat="1" applyFont="1" applyFill="1" applyBorder="1" applyAlignment="1" applyProtection="1">
      <alignment vertical="center"/>
    </xf>
    <xf numFmtId="166" fontId="32" fillId="21" borderId="9" xfId="0" applyNumberFormat="1" applyFont="1" applyFill="1" applyBorder="1" applyAlignment="1" applyProtection="1">
      <alignment vertical="center"/>
    </xf>
    <xf numFmtId="166" fontId="32" fillId="21" borderId="17" xfId="0" applyNumberFormat="1" applyFont="1" applyFill="1" applyBorder="1" applyAlignment="1" applyProtection="1">
      <alignment vertical="center"/>
    </xf>
    <xf numFmtId="0" fontId="32" fillId="26" borderId="86" xfId="0" applyFont="1" applyFill="1" applyBorder="1" applyProtection="1"/>
    <xf numFmtId="174" fontId="32" fillId="26" borderId="74" xfId="0" applyNumberFormat="1" applyFont="1" applyFill="1" applyBorder="1" applyAlignment="1" applyProtection="1"/>
    <xf numFmtId="0" fontId="32" fillId="26" borderId="86" xfId="0" applyFont="1" applyFill="1" applyBorder="1" applyAlignment="1" applyProtection="1">
      <alignment horizontal="left" vertical="center" indent="1"/>
    </xf>
    <xf numFmtId="174" fontId="32" fillId="26" borderId="87" xfId="0" applyNumberFormat="1" applyFont="1" applyFill="1" applyBorder="1" applyAlignment="1" applyProtection="1">
      <alignment vertical="center"/>
    </xf>
    <xf numFmtId="0" fontId="32" fillId="22" borderId="7" xfId="0" applyFont="1" applyFill="1" applyBorder="1" applyAlignment="1" applyProtection="1">
      <alignment horizontal="left" vertical="center" wrapText="1"/>
    </xf>
    <xf numFmtId="174" fontId="32" fillId="22" borderId="16" xfId="0" applyNumberFormat="1" applyFont="1" applyFill="1" applyBorder="1" applyAlignment="1" applyProtection="1">
      <alignment vertical="center"/>
    </xf>
    <xf numFmtId="166" fontId="32" fillId="22" borderId="17" xfId="0" applyNumberFormat="1" applyFont="1" applyFill="1" applyBorder="1" applyAlignment="1" applyProtection="1">
      <alignment vertical="center"/>
    </xf>
    <xf numFmtId="174" fontId="279" fillId="22" borderId="89" xfId="0" applyNumberFormat="1" applyFont="1" applyFill="1" applyBorder="1" applyAlignment="1">
      <alignment horizontal="center" vertical="center"/>
    </xf>
    <xf numFmtId="174" fontId="280" fillId="22" borderId="89" xfId="5" applyNumberFormat="1" applyFont="1" applyFill="1" applyBorder="1" applyAlignment="1" applyProtection="1">
      <alignment horizontal="center" vertical="center" wrapText="1"/>
    </xf>
    <xf numFmtId="0" fontId="0" fillId="0" borderId="0" xfId="0" applyBorder="1" applyAlignment="1" applyProtection="1">
      <alignment horizontal="right" vertical="center"/>
      <protection locked="0"/>
    </xf>
    <xf numFmtId="0" fontId="0" fillId="0" borderId="0" xfId="0" applyBorder="1" applyAlignment="1">
      <alignment horizontal="right" vertical="center"/>
    </xf>
    <xf numFmtId="0" fontId="0" fillId="0" borderId="0" xfId="0" applyBorder="1" applyAlignment="1">
      <alignment horizontal="right"/>
    </xf>
    <xf numFmtId="3" fontId="32" fillId="23" borderId="491" xfId="0" applyNumberFormat="1" applyFont="1" applyFill="1" applyBorder="1" applyAlignment="1">
      <alignment horizontal="center" vertical="center"/>
    </xf>
    <xf numFmtId="8" fontId="92" fillId="23" borderId="490" xfId="5" applyNumberFormat="1" applyFont="1" applyFill="1" applyBorder="1" applyAlignment="1" applyProtection="1">
      <alignment horizontal="center" vertical="center"/>
    </xf>
    <xf numFmtId="0" fontId="36" fillId="0" borderId="195" xfId="0" applyFont="1" applyFill="1" applyBorder="1" applyAlignment="1" applyProtection="1">
      <alignment vertical="center"/>
    </xf>
    <xf numFmtId="0" fontId="36" fillId="0" borderId="505" xfId="0" applyFont="1" applyFill="1" applyBorder="1" applyAlignment="1" applyProtection="1">
      <alignment vertical="center"/>
    </xf>
    <xf numFmtId="3" fontId="32" fillId="22" borderId="89" xfId="0" applyNumberFormat="1" applyFont="1" applyFill="1" applyBorder="1" applyAlignment="1">
      <alignment horizontal="center" vertical="center"/>
    </xf>
    <xf numFmtId="174" fontId="43" fillId="19" borderId="194" xfId="5" applyNumberFormat="1" applyFont="1" applyFill="1" applyBorder="1" applyAlignment="1" applyProtection="1">
      <alignment horizontal="right" vertical="center"/>
      <protection locked="0"/>
    </xf>
    <xf numFmtId="177" fontId="32" fillId="21" borderId="142" xfId="5" applyNumberFormat="1" applyFont="1" applyFill="1" applyBorder="1" applyAlignment="1" applyProtection="1">
      <alignment horizontal="right" vertical="center"/>
    </xf>
    <xf numFmtId="177" fontId="32" fillId="21" borderId="142" xfId="5" applyNumberFormat="1" applyFont="1" applyFill="1" applyBorder="1" applyAlignment="1" applyProtection="1">
      <alignment horizontal="right" vertical="center" wrapText="1"/>
    </xf>
    <xf numFmtId="174" fontId="43" fillId="19" borderId="492" xfId="5" applyNumberFormat="1" applyFont="1" applyFill="1" applyBorder="1" applyAlignment="1" applyProtection="1">
      <alignment horizontal="right" vertical="center"/>
      <protection locked="0"/>
    </xf>
    <xf numFmtId="174" fontId="43" fillId="19" borderId="506" xfId="5" applyNumberFormat="1" applyFont="1" applyFill="1" applyBorder="1" applyAlignment="1" applyProtection="1">
      <alignment horizontal="right" vertical="center"/>
      <protection locked="0"/>
    </xf>
    <xf numFmtId="0" fontId="32" fillId="22" borderId="89" xfId="0" applyFont="1" applyFill="1" applyBorder="1" applyAlignment="1" applyProtection="1">
      <alignment horizontal="center" vertical="center"/>
    </xf>
    <xf numFmtId="174" fontId="43" fillId="0" borderId="493" xfId="5" applyNumberFormat="1" applyFont="1" applyFill="1" applyBorder="1" applyAlignment="1" applyProtection="1">
      <alignment horizontal="right" vertical="center"/>
      <protection locked="0"/>
    </xf>
    <xf numFmtId="166" fontId="35" fillId="19" borderId="87" xfId="0" applyNumberFormat="1" applyFont="1" applyFill="1" applyBorder="1" applyAlignment="1" applyProtection="1">
      <alignment horizontal="right" vertical="center"/>
      <protection locked="0"/>
    </xf>
    <xf numFmtId="166" fontId="35" fillId="19" borderId="88" xfId="0" applyNumberFormat="1" applyFont="1" applyFill="1" applyBorder="1" applyAlignment="1" applyProtection="1">
      <alignment horizontal="right" vertical="center"/>
      <protection locked="0"/>
    </xf>
    <xf numFmtId="168" fontId="35" fillId="19" borderId="87" xfId="0" applyNumberFormat="1" applyFont="1" applyFill="1" applyBorder="1" applyAlignment="1" applyProtection="1">
      <alignment horizontal="right" vertical="center"/>
      <protection locked="0"/>
    </xf>
    <xf numFmtId="168" fontId="35" fillId="19" borderId="88" xfId="0" applyNumberFormat="1" applyFont="1" applyFill="1" applyBorder="1" applyAlignment="1" applyProtection="1">
      <alignment horizontal="right" vertical="center"/>
      <protection locked="0"/>
    </xf>
    <xf numFmtId="168" fontId="35" fillId="19" borderId="84" xfId="0" applyNumberFormat="1" applyFont="1" applyFill="1" applyBorder="1" applyAlignment="1" applyProtection="1">
      <alignment horizontal="right" vertical="center"/>
      <protection locked="0"/>
    </xf>
    <xf numFmtId="168" fontId="35" fillId="19" borderId="44" xfId="0" applyNumberFormat="1" applyFont="1" applyFill="1" applyBorder="1" applyAlignment="1" applyProtection="1">
      <alignment horizontal="right" vertical="center"/>
      <protection locked="0"/>
    </xf>
    <xf numFmtId="174" fontId="35" fillId="19" borderId="137" xfId="0" applyNumberFormat="1" applyFont="1" applyFill="1" applyBorder="1" applyAlignment="1" applyProtection="1">
      <alignment horizontal="right" vertical="center"/>
      <protection locked="0"/>
    </xf>
    <xf numFmtId="174" fontId="35" fillId="19" borderId="136" xfId="0" applyNumberFormat="1" applyFont="1" applyFill="1" applyBorder="1" applyAlignment="1" applyProtection="1">
      <alignment horizontal="right" vertical="center"/>
      <protection locked="0"/>
    </xf>
    <xf numFmtId="166" fontId="35" fillId="19" borderId="84" xfId="0" applyNumberFormat="1" applyFont="1" applyFill="1" applyBorder="1" applyAlignment="1" applyProtection="1">
      <alignment vertical="center" wrapText="1"/>
      <protection locked="0"/>
    </xf>
    <xf numFmtId="166" fontId="35" fillId="19" borderId="44" xfId="0" applyNumberFormat="1" applyFont="1" applyFill="1" applyBorder="1" applyAlignment="1" applyProtection="1">
      <alignment vertical="center" wrapText="1"/>
      <protection locked="0"/>
    </xf>
    <xf numFmtId="0" fontId="35" fillId="19" borderId="87" xfId="0" applyNumberFormat="1" applyFont="1" applyFill="1" applyBorder="1" applyAlignment="1" applyProtection="1">
      <alignment horizontal="right" vertical="center"/>
      <protection locked="0"/>
    </xf>
    <xf numFmtId="0" fontId="35" fillId="19" borderId="88" xfId="0" applyNumberFormat="1" applyFont="1" applyFill="1" applyBorder="1" applyAlignment="1" applyProtection="1">
      <alignment horizontal="right" vertical="center"/>
      <protection locked="0"/>
    </xf>
    <xf numFmtId="177" fontId="35" fillId="19" borderId="137" xfId="0" applyNumberFormat="1" applyFont="1" applyFill="1" applyBorder="1" applyAlignment="1" applyProtection="1">
      <alignment vertical="center" wrapText="1"/>
      <protection locked="0"/>
    </xf>
    <xf numFmtId="177" fontId="35" fillId="19" borderId="136" xfId="0" applyNumberFormat="1" applyFont="1" applyFill="1" applyBorder="1" applyAlignment="1" applyProtection="1">
      <alignment vertical="center" wrapText="1"/>
      <protection locked="0"/>
    </xf>
    <xf numFmtId="0" fontId="184" fillId="0" borderId="0" xfId="0" applyFont="1" applyFill="1" applyBorder="1" applyAlignment="1" applyProtection="1">
      <alignment horizontal="right" vertical="center"/>
    </xf>
    <xf numFmtId="172" fontId="43" fillId="19" borderId="16" xfId="0" applyNumberFormat="1" applyFont="1" applyFill="1" applyBorder="1" applyAlignment="1" applyProtection="1">
      <alignment horizontal="center" vertical="center"/>
      <protection locked="0"/>
    </xf>
    <xf numFmtId="166" fontId="43" fillId="19" borderId="7" xfId="5" applyNumberFormat="1" applyFont="1" applyFill="1" applyBorder="1" applyAlignment="1" applyProtection="1">
      <alignment horizontal="center" vertical="center"/>
      <protection locked="0"/>
    </xf>
    <xf numFmtId="186" fontId="43" fillId="19" borderId="16" xfId="0" applyNumberFormat="1" applyFont="1" applyFill="1" applyBorder="1" applyAlignment="1" applyProtection="1">
      <alignment horizontal="center" vertical="center"/>
      <protection locked="0"/>
    </xf>
    <xf numFmtId="174" fontId="43" fillId="19" borderId="17" xfId="0" applyNumberFormat="1" applyFont="1" applyFill="1" applyBorder="1" applyAlignment="1" applyProtection="1">
      <alignment horizontal="center" vertical="center"/>
      <protection locked="0"/>
    </xf>
    <xf numFmtId="166" fontId="35" fillId="25" borderId="83" xfId="0" applyNumberFormat="1" applyFont="1" applyFill="1" applyBorder="1" applyAlignment="1" applyProtection="1">
      <alignment vertical="center" wrapText="1"/>
      <protection locked="0"/>
    </xf>
    <xf numFmtId="0" fontId="35" fillId="25" borderId="86" xfId="0" applyNumberFormat="1" applyFont="1" applyFill="1" applyBorder="1" applyAlignment="1" applyProtection="1">
      <alignment horizontal="right" vertical="center"/>
      <protection locked="0"/>
    </xf>
    <xf numFmtId="177" fontId="35" fillId="25" borderId="163" xfId="0" applyNumberFormat="1" applyFont="1" applyFill="1" applyBorder="1" applyAlignment="1" applyProtection="1">
      <alignment vertical="center" wrapText="1"/>
      <protection locked="0"/>
    </xf>
    <xf numFmtId="1" fontId="36" fillId="25" borderId="260" xfId="5" applyNumberFormat="1" applyFont="1" applyFill="1" applyBorder="1" applyAlignment="1" applyProtection="1">
      <alignment horizontal="center"/>
      <protection locked="0"/>
    </xf>
    <xf numFmtId="1" fontId="36" fillId="25" borderId="11" xfId="5" applyNumberFormat="1" applyFont="1" applyFill="1" applyBorder="1" applyAlignment="1" applyProtection="1">
      <alignment horizontal="center"/>
      <protection locked="0"/>
    </xf>
    <xf numFmtId="1" fontId="36" fillId="25" borderId="72" xfId="5" applyNumberFormat="1" applyFont="1" applyFill="1" applyBorder="1" applyAlignment="1" applyProtection="1">
      <alignment horizontal="center"/>
      <protection locked="0"/>
    </xf>
    <xf numFmtId="1" fontId="36" fillId="25" borderId="2" xfId="5" applyNumberFormat="1" applyFont="1" applyFill="1" applyBorder="1" applyAlignment="1" applyProtection="1">
      <alignment horizontal="center"/>
      <protection locked="0"/>
    </xf>
    <xf numFmtId="8" fontId="91" fillId="17" borderId="0" xfId="5" applyNumberFormat="1" applyFont="1" applyFill="1" applyBorder="1" applyAlignment="1" applyProtection="1">
      <alignment horizontal="center" vertical="center" wrapText="1"/>
    </xf>
    <xf numFmtId="8" fontId="92" fillId="17" borderId="0" xfId="5" applyNumberFormat="1" applyFont="1" applyFill="1" applyBorder="1" applyAlignment="1" applyProtection="1">
      <alignment horizontal="center" vertical="center" wrapText="1"/>
    </xf>
    <xf numFmtId="172" fontId="43" fillId="17" borderId="0" xfId="5" applyNumberFormat="1" applyFont="1" applyFill="1" applyBorder="1" applyAlignment="1" applyProtection="1">
      <alignment horizontal="center" vertical="center"/>
      <protection locked="0"/>
    </xf>
    <xf numFmtId="172" fontId="43" fillId="17" borderId="0" xfId="0" applyNumberFormat="1" applyFont="1" applyFill="1" applyBorder="1" applyAlignment="1" applyProtection="1">
      <alignment horizontal="center" vertical="center"/>
      <protection locked="0"/>
    </xf>
    <xf numFmtId="9" fontId="37" fillId="17" borderId="0" xfId="5" applyNumberFormat="1" applyFont="1" applyFill="1" applyBorder="1" applyAlignment="1" applyProtection="1">
      <alignment horizontal="right" vertical="center"/>
      <protection locked="0"/>
    </xf>
    <xf numFmtId="8" fontId="76" fillId="17" borderId="0" xfId="5" applyNumberFormat="1" applyFont="1" applyFill="1" applyBorder="1" applyAlignment="1" applyProtection="1">
      <alignment horizontal="center" vertical="center"/>
    </xf>
    <xf numFmtId="8" fontId="76" fillId="17" borderId="0" xfId="5" applyNumberFormat="1" applyFont="1" applyFill="1" applyBorder="1" applyAlignment="1" applyProtection="1">
      <alignment horizontal="center" vertical="center" wrapText="1"/>
    </xf>
    <xf numFmtId="168" fontId="32" fillId="0" borderId="0" xfId="5" applyNumberFormat="1" applyFont="1" applyFill="1" applyBorder="1" applyAlignment="1" applyProtection="1">
      <alignment horizontal="center" vertical="center"/>
    </xf>
    <xf numFmtId="0" fontId="0" fillId="0" borderId="0" xfId="0" applyFill="1" applyBorder="1" applyAlignment="1">
      <alignment horizontal="center"/>
    </xf>
    <xf numFmtId="0" fontId="43" fillId="24" borderId="0" xfId="0" applyFont="1" applyFill="1" applyBorder="1" applyAlignment="1" applyProtection="1">
      <alignment horizontal="left" vertical="center" wrapText="1"/>
    </xf>
    <xf numFmtId="8" fontId="32" fillId="24" borderId="0" xfId="0" applyNumberFormat="1" applyFont="1" applyFill="1" applyBorder="1" applyAlignment="1" applyProtection="1">
      <alignment horizontal="center" vertical="center" wrapText="1"/>
    </xf>
    <xf numFmtId="179" fontId="35" fillId="24" borderId="0" xfId="0" applyNumberFormat="1" applyFont="1" applyFill="1" applyBorder="1" applyAlignment="1" applyProtection="1"/>
    <xf numFmtId="179" fontId="53" fillId="24" borderId="0" xfId="0" applyNumberFormat="1" applyFont="1" applyFill="1" applyBorder="1" applyAlignment="1" applyProtection="1"/>
    <xf numFmtId="179" fontId="35" fillId="24" borderId="0" xfId="4" applyNumberFormat="1" applyFont="1" applyFill="1" applyBorder="1" applyAlignment="1" applyProtection="1"/>
    <xf numFmtId="179" fontId="35" fillId="24" borderId="0" xfId="0" applyNumberFormat="1" applyFont="1" applyFill="1" applyBorder="1" applyProtection="1"/>
    <xf numFmtId="8" fontId="43" fillId="24" borderId="0" xfId="0" applyNumberFormat="1" applyFont="1" applyFill="1" applyBorder="1" applyProtection="1"/>
    <xf numFmtId="0" fontId="39" fillId="24" borderId="0" xfId="0" applyFont="1" applyFill="1" applyBorder="1" applyProtection="1"/>
    <xf numFmtId="8" fontId="32" fillId="23" borderId="488" xfId="5" applyNumberFormat="1" applyFont="1" applyFill="1" applyBorder="1" applyAlignment="1" applyProtection="1">
      <alignment horizontal="center" vertical="center" wrapText="1"/>
    </xf>
    <xf numFmtId="8" fontId="32" fillId="23" borderId="500" xfId="5" applyNumberFormat="1" applyFont="1" applyFill="1" applyBorder="1" applyAlignment="1" applyProtection="1">
      <alignment horizontal="center" vertical="center" wrapText="1"/>
    </xf>
    <xf numFmtId="0" fontId="92" fillId="0" borderId="0" xfId="0" applyFont="1" applyFill="1" applyBorder="1" applyAlignment="1" applyProtection="1">
      <alignment horizontal="left" vertical="center"/>
    </xf>
    <xf numFmtId="174" fontId="36" fillId="19" borderId="130" xfId="5" applyNumberFormat="1" applyFont="1" applyFill="1" applyBorder="1" applyAlignment="1" applyProtection="1">
      <alignment horizontal="right" vertical="center"/>
      <protection locked="0"/>
    </xf>
    <xf numFmtId="6" fontId="36" fillId="19" borderId="504" xfId="5" applyNumberFormat="1" applyFont="1" applyFill="1" applyBorder="1" applyAlignment="1" applyProtection="1">
      <alignment horizontal="center" vertical="center"/>
      <protection locked="0"/>
    </xf>
    <xf numFmtId="174" fontId="36" fillId="19" borderId="86" xfId="0" applyNumberFormat="1" applyFont="1" applyFill="1" applyBorder="1" applyAlignment="1" applyProtection="1">
      <alignment horizontal="right" vertical="center"/>
      <protection locked="0"/>
    </xf>
    <xf numFmtId="6" fontId="36" fillId="19" borderId="88" xfId="5" applyNumberFormat="1" applyFont="1" applyFill="1" applyBorder="1" applyAlignment="1" applyProtection="1">
      <alignment horizontal="center" vertical="center"/>
      <protection locked="0"/>
    </xf>
    <xf numFmtId="8" fontId="43" fillId="0" borderId="0" xfId="0" applyNumberFormat="1" applyFont="1" applyFill="1" applyBorder="1" applyAlignment="1" applyProtection="1"/>
    <xf numFmtId="0" fontId="185"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215" fillId="0" borderId="0" xfId="0" applyFont="1" applyFill="1" applyBorder="1" applyAlignment="1">
      <alignment horizontal="center" vertical="center"/>
    </xf>
    <xf numFmtId="8" fontId="44" fillId="0" borderId="0" xfId="0" applyNumberFormat="1" applyFont="1" applyFill="1" applyBorder="1" applyAlignment="1" applyProtection="1"/>
    <xf numFmtId="0" fontId="42" fillId="0" borderId="0" xfId="0" applyFont="1" applyFill="1" applyBorder="1" applyAlignment="1" applyProtection="1"/>
    <xf numFmtId="8" fontId="36" fillId="0" borderId="0" xfId="0" applyNumberFormat="1" applyFont="1" applyFill="1" applyBorder="1" applyAlignment="1" applyProtection="1"/>
    <xf numFmtId="0" fontId="43" fillId="0" borderId="0" xfId="0" applyFont="1" applyFill="1" applyBorder="1" applyAlignment="1" applyProtection="1">
      <alignment horizontal="left" vertical="center"/>
    </xf>
    <xf numFmtId="174" fontId="36" fillId="0" borderId="0" xfId="5" applyNumberFormat="1" applyFont="1" applyFill="1" applyBorder="1" applyAlignment="1" applyProtection="1">
      <alignment horizontal="right" vertical="center"/>
      <protection locked="0"/>
    </xf>
    <xf numFmtId="0" fontId="36" fillId="0" borderId="291" xfId="0" applyFont="1" applyFill="1" applyBorder="1" applyAlignment="1" applyProtection="1">
      <alignment vertical="center"/>
    </xf>
    <xf numFmtId="174" fontId="36" fillId="19" borderId="10" xfId="0" applyNumberFormat="1" applyFont="1" applyFill="1" applyBorder="1" applyAlignment="1" applyProtection="1">
      <alignment horizontal="right" vertical="center"/>
      <protection locked="0"/>
    </xf>
    <xf numFmtId="174" fontId="36" fillId="19" borderId="13" xfId="0" applyNumberFormat="1" applyFont="1" applyFill="1" applyBorder="1" applyAlignment="1" applyProtection="1">
      <alignment horizontal="right" vertical="center"/>
      <protection locked="0"/>
    </xf>
    <xf numFmtId="174" fontId="36" fillId="19" borderId="83" xfId="0" applyNumberFormat="1" applyFont="1" applyFill="1" applyBorder="1" applyAlignment="1" applyProtection="1">
      <alignment horizontal="right" vertical="center"/>
      <protection locked="0"/>
    </xf>
    <xf numFmtId="0" fontId="0" fillId="0" borderId="0" xfId="0" applyAlignment="1">
      <alignment vertical="center"/>
    </xf>
    <xf numFmtId="0" fontId="211" fillId="0" borderId="0" xfId="0" applyFont="1" applyFill="1" applyAlignment="1">
      <alignment vertical="center"/>
    </xf>
    <xf numFmtId="177" fontId="151" fillId="0" borderId="38" xfId="5" applyNumberFormat="1" applyFont="1" applyFill="1" applyBorder="1" applyAlignment="1" applyProtection="1">
      <alignment horizontal="center" vertical="center"/>
      <protection locked="0"/>
    </xf>
    <xf numFmtId="8" fontId="32" fillId="23" borderId="501" xfId="5" applyNumberFormat="1" applyFont="1" applyFill="1" applyBorder="1" applyAlignment="1" applyProtection="1">
      <alignment horizontal="center" vertical="center"/>
    </xf>
    <xf numFmtId="8" fontId="32" fillId="23" borderId="500" xfId="5" applyNumberFormat="1" applyFont="1" applyFill="1" applyBorder="1" applyAlignment="1" applyProtection="1">
      <alignment horizontal="center" vertical="center"/>
    </xf>
    <xf numFmtId="6" fontId="32" fillId="21" borderId="279" xfId="0" applyNumberFormat="1" applyFont="1" applyFill="1" applyBorder="1" applyAlignment="1" applyProtection="1">
      <alignment vertical="center"/>
    </xf>
    <xf numFmtId="6" fontId="32" fillId="21" borderId="151" xfId="0" applyNumberFormat="1" applyFont="1" applyFill="1" applyBorder="1" applyAlignment="1" applyProtection="1">
      <alignment vertical="center"/>
    </xf>
    <xf numFmtId="6" fontId="32" fillId="21" borderId="279" xfId="0" applyNumberFormat="1" applyFont="1" applyFill="1" applyBorder="1" applyAlignment="1" applyProtection="1">
      <alignment horizontal="center" vertical="center"/>
    </xf>
    <xf numFmtId="6" fontId="32" fillId="21" borderId="151" xfId="0" applyNumberFormat="1" applyFont="1" applyFill="1" applyBorder="1" applyAlignment="1" applyProtection="1">
      <alignment horizontal="center" vertical="center"/>
    </xf>
    <xf numFmtId="177" fontId="32" fillId="21" borderId="157" xfId="5" applyNumberFormat="1" applyFont="1" applyFill="1" applyBorder="1" applyAlignment="1" applyProtection="1">
      <alignment horizontal="right" vertical="center"/>
    </xf>
    <xf numFmtId="177" fontId="0" fillId="21" borderId="279" xfId="0" applyNumberFormat="1" applyFill="1" applyBorder="1" applyAlignment="1">
      <alignment horizontal="right" vertical="center"/>
    </xf>
    <xf numFmtId="177" fontId="36" fillId="19" borderId="296" xfId="5" applyNumberFormat="1" applyFont="1" applyFill="1" applyBorder="1" applyAlignment="1" applyProtection="1">
      <alignment horizontal="right" vertical="center"/>
      <protection locked="0"/>
    </xf>
    <xf numFmtId="177" fontId="36" fillId="19" borderId="130" xfId="5" applyNumberFormat="1" applyFont="1" applyFill="1" applyBorder="1" applyAlignment="1" applyProtection="1">
      <alignment horizontal="right" vertical="center"/>
      <protection locked="0"/>
    </xf>
    <xf numFmtId="177" fontId="36" fillId="19" borderId="86" xfId="5" applyNumberFormat="1" applyFont="1" applyFill="1" applyBorder="1" applyAlignment="1" applyProtection="1">
      <alignment horizontal="right" vertical="center"/>
      <protection locked="0"/>
    </xf>
    <xf numFmtId="177" fontId="32" fillId="0" borderId="0" xfId="5" applyNumberFormat="1" applyFont="1" applyFill="1" applyBorder="1" applyAlignment="1" applyProtection="1">
      <alignment horizontal="right" vertical="center"/>
    </xf>
    <xf numFmtId="177" fontId="0" fillId="0" borderId="0" xfId="0" applyNumberFormat="1" applyFill="1" applyBorder="1" applyAlignment="1">
      <alignment horizontal="right" vertical="center"/>
    </xf>
    <xf numFmtId="0" fontId="275" fillId="21" borderId="149" xfId="0" applyFont="1" applyFill="1" applyBorder="1" applyAlignment="1" applyProtection="1">
      <alignment vertical="center" wrapText="1"/>
    </xf>
    <xf numFmtId="0" fontId="276" fillId="21" borderId="149" xfId="0" applyFont="1" applyFill="1" applyBorder="1" applyAlignment="1" applyProtection="1">
      <alignment vertical="center" wrapText="1"/>
    </xf>
    <xf numFmtId="174" fontId="36" fillId="19" borderId="296" xfId="5" applyNumberFormat="1" applyFont="1" applyFill="1" applyBorder="1" applyAlignment="1" applyProtection="1">
      <alignment vertical="center"/>
      <protection locked="0"/>
    </xf>
    <xf numFmtId="174" fontId="36" fillId="19" borderId="502" xfId="5" applyNumberFormat="1" applyFont="1" applyFill="1" applyBorder="1" applyAlignment="1" applyProtection="1">
      <alignment horizontal="right" vertical="center"/>
      <protection locked="0"/>
    </xf>
    <xf numFmtId="174" fontId="36" fillId="19" borderId="254" xfId="0" applyNumberFormat="1" applyFont="1" applyFill="1" applyBorder="1" applyAlignment="1" applyProtection="1">
      <alignment horizontal="right" vertical="center"/>
      <protection locked="0"/>
    </xf>
    <xf numFmtId="174" fontId="36" fillId="19" borderId="134" xfId="0" applyNumberFormat="1" applyFont="1" applyFill="1" applyBorder="1" applyAlignment="1" applyProtection="1">
      <alignment horizontal="right" vertical="center"/>
      <protection locked="0"/>
    </xf>
    <xf numFmtId="174" fontId="36" fillId="19" borderId="14" xfId="0" applyNumberFormat="1" applyFont="1" applyFill="1" applyBorder="1" applyAlignment="1" applyProtection="1">
      <alignment horizontal="right" vertical="center"/>
      <protection locked="0"/>
    </xf>
    <xf numFmtId="8" fontId="32" fillId="0" borderId="0" xfId="5" applyNumberFormat="1" applyFont="1" applyFill="1" applyBorder="1" applyAlignment="1" applyProtection="1">
      <alignment vertical="center" wrapText="1"/>
    </xf>
    <xf numFmtId="166" fontId="32" fillId="0" borderId="0" xfId="0" applyNumberFormat="1" applyFont="1" applyFill="1" applyBorder="1" applyAlignment="1" applyProtection="1">
      <alignment vertical="center"/>
    </xf>
    <xf numFmtId="177" fontId="151" fillId="0" borderId="0" xfId="5" applyNumberFormat="1" applyFont="1" applyFill="1" applyBorder="1" applyAlignment="1" applyProtection="1">
      <alignment horizontal="center" vertical="center"/>
      <protection locked="0"/>
    </xf>
    <xf numFmtId="177" fontId="118" fillId="0" borderId="0" xfId="0" applyNumberFormat="1" applyFont="1" applyFill="1" applyBorder="1" applyAlignment="1">
      <alignment horizontal="center" vertical="center"/>
    </xf>
    <xf numFmtId="177" fontId="3" fillId="0" borderId="0" xfId="0" applyNumberFormat="1" applyFont="1" applyFill="1" applyBorder="1" applyAlignment="1">
      <alignment horizontal="right" vertical="center"/>
    </xf>
    <xf numFmtId="174" fontId="125" fillId="0" borderId="0" xfId="0" applyNumberFormat="1" applyFont="1" applyFill="1" applyBorder="1" applyAlignment="1" applyProtection="1">
      <alignment horizontal="center" vertical="center" wrapText="1"/>
    </xf>
    <xf numFmtId="0" fontId="217" fillId="0" borderId="0" xfId="0" applyFont="1" applyFill="1" applyBorder="1" applyAlignment="1">
      <alignment horizontal="center" vertical="center" wrapText="1"/>
    </xf>
    <xf numFmtId="166" fontId="43" fillId="19" borderId="157" xfId="5" applyNumberFormat="1" applyFont="1" applyFill="1" applyBorder="1" applyAlignment="1" applyProtection="1">
      <alignment horizontal="center" vertical="center"/>
      <protection locked="0"/>
    </xf>
    <xf numFmtId="186" fontId="43" fillId="19" borderId="433" xfId="0" applyNumberFormat="1" applyFont="1" applyFill="1" applyBorder="1" applyAlignment="1" applyProtection="1">
      <alignment horizontal="center" vertical="center"/>
      <protection locked="0"/>
    </xf>
    <xf numFmtId="172" fontId="43" fillId="19" borderId="433" xfId="0" applyNumberFormat="1" applyFont="1" applyFill="1" applyBorder="1" applyAlignment="1" applyProtection="1">
      <alignment horizontal="center" vertical="center"/>
      <protection locked="0"/>
    </xf>
    <xf numFmtId="174" fontId="43" fillId="19" borderId="151" xfId="0" applyNumberFormat="1" applyFont="1" applyFill="1" applyBorder="1" applyAlignment="1" applyProtection="1">
      <alignment horizontal="center" vertical="center"/>
      <protection locked="0"/>
    </xf>
    <xf numFmtId="8" fontId="92" fillId="23" borderId="12" xfId="5" applyNumberFormat="1" applyFont="1" applyFill="1" applyBorder="1" applyAlignment="1" applyProtection="1">
      <alignment horizontal="center" vertical="center" wrapText="1"/>
    </xf>
    <xf numFmtId="8" fontId="92" fillId="23" borderId="26" xfId="5" applyNumberFormat="1" applyFont="1" applyFill="1" applyBorder="1" applyAlignment="1" applyProtection="1">
      <alignment horizontal="center" vertical="center" wrapText="1"/>
    </xf>
    <xf numFmtId="8" fontId="92" fillId="23" borderId="27" xfId="5" applyNumberFormat="1" applyFont="1" applyFill="1" applyBorder="1" applyAlignment="1" applyProtection="1">
      <alignment horizontal="center" vertical="center" wrapText="1"/>
    </xf>
    <xf numFmtId="8" fontId="92" fillId="0" borderId="0" xfId="5" applyNumberFormat="1" applyFont="1" applyFill="1" applyBorder="1" applyAlignment="1" applyProtection="1">
      <alignment horizontal="center" vertical="center"/>
    </xf>
    <xf numFmtId="0" fontId="39" fillId="0" borderId="21" xfId="0" applyFont="1" applyFill="1" applyBorder="1" applyProtection="1"/>
    <xf numFmtId="8" fontId="32" fillId="17" borderId="0" xfId="5" applyNumberFormat="1" applyFont="1" applyFill="1" applyBorder="1" applyAlignment="1" applyProtection="1">
      <alignment horizontal="center" vertical="center" wrapText="1"/>
    </xf>
    <xf numFmtId="0" fontId="17" fillId="17" borderId="0" xfId="0" applyFont="1" applyFill="1" applyBorder="1" applyAlignment="1">
      <alignment horizontal="center" vertical="center" wrapText="1"/>
    </xf>
    <xf numFmtId="9" fontId="37" fillId="17" borderId="0" xfId="0" applyNumberFormat="1" applyFont="1" applyFill="1" applyBorder="1" applyAlignment="1" applyProtection="1">
      <alignment horizontal="right" vertical="center"/>
      <protection locked="0"/>
    </xf>
    <xf numFmtId="0" fontId="39" fillId="17" borderId="0" xfId="0" applyFont="1" applyFill="1" applyBorder="1" applyProtection="1"/>
    <xf numFmtId="8" fontId="139" fillId="17" borderId="0" xfId="5" applyNumberFormat="1" applyFont="1" applyFill="1" applyBorder="1" applyAlignment="1" applyProtection="1">
      <alignment horizontal="center" vertical="center" wrapText="1"/>
    </xf>
    <xf numFmtId="174" fontId="125" fillId="17" borderId="0" xfId="0" applyNumberFormat="1" applyFont="1" applyFill="1" applyBorder="1" applyAlignment="1" applyProtection="1">
      <alignment horizontal="center" vertical="center"/>
    </xf>
    <xf numFmtId="174" fontId="139" fillId="17" borderId="0" xfId="0" applyNumberFormat="1" applyFont="1" applyFill="1" applyBorder="1" applyAlignment="1" applyProtection="1">
      <alignment horizontal="center" vertical="center"/>
    </xf>
    <xf numFmtId="166" fontId="35" fillId="25" borderId="84" xfId="0" applyNumberFormat="1" applyFont="1" applyFill="1" applyBorder="1" applyAlignment="1" applyProtection="1">
      <alignment vertical="center" wrapText="1"/>
      <protection locked="0"/>
    </xf>
    <xf numFmtId="0" fontId="35" fillId="25" borderId="87" xfId="0" applyNumberFormat="1" applyFont="1" applyFill="1" applyBorder="1" applyAlignment="1" applyProtection="1">
      <alignment horizontal="right" vertical="center"/>
      <protection locked="0"/>
    </xf>
    <xf numFmtId="177" fontId="35" fillId="25" borderId="137" xfId="0" applyNumberFormat="1" applyFont="1" applyFill="1" applyBorder="1" applyAlignment="1" applyProtection="1">
      <alignment vertical="center" wrapText="1"/>
      <protection locked="0"/>
    </xf>
    <xf numFmtId="166" fontId="35" fillId="25" borderId="75" xfId="0" applyNumberFormat="1" applyFont="1" applyFill="1" applyBorder="1" applyAlignment="1" applyProtection="1">
      <alignment horizontal="right" vertical="center"/>
      <protection locked="0"/>
    </xf>
    <xf numFmtId="168" fontId="35" fillId="25" borderId="75" xfId="0" applyNumberFormat="1" applyFont="1" applyFill="1" applyBorder="1" applyAlignment="1" applyProtection="1">
      <alignment horizontal="right" vertical="center"/>
      <protection locked="0"/>
    </xf>
    <xf numFmtId="168" fontId="35" fillId="25" borderId="85" xfId="0" applyNumberFormat="1" applyFont="1" applyFill="1" applyBorder="1" applyAlignment="1" applyProtection="1">
      <alignment horizontal="right" vertical="center"/>
      <protection locked="0"/>
    </xf>
    <xf numFmtId="174" fontId="35" fillId="25" borderId="162" xfId="0" applyNumberFormat="1" applyFont="1" applyFill="1" applyBorder="1" applyAlignment="1" applyProtection="1">
      <alignment horizontal="right" vertical="center"/>
      <protection locked="0"/>
    </xf>
    <xf numFmtId="166" fontId="35" fillId="25" borderId="87" xfId="0" applyNumberFormat="1" applyFont="1" applyFill="1" applyBorder="1" applyAlignment="1" applyProtection="1">
      <alignment horizontal="right" vertical="center"/>
      <protection locked="0"/>
    </xf>
    <xf numFmtId="168" fontId="35" fillId="25" borderId="87" xfId="0" applyNumberFormat="1" applyFont="1" applyFill="1" applyBorder="1" applyAlignment="1" applyProtection="1">
      <alignment horizontal="right" vertical="center"/>
      <protection locked="0"/>
    </xf>
    <xf numFmtId="168" fontId="35" fillId="25" borderId="84" xfId="0" applyNumberFormat="1" applyFont="1" applyFill="1" applyBorder="1" applyAlignment="1" applyProtection="1">
      <alignment horizontal="right" vertical="center"/>
      <protection locked="0"/>
    </xf>
    <xf numFmtId="174" fontId="35" fillId="25" borderId="137" xfId="0" applyNumberFormat="1" applyFont="1" applyFill="1" applyBorder="1" applyAlignment="1" applyProtection="1">
      <alignment horizontal="right" vertical="center"/>
      <protection locked="0"/>
    </xf>
    <xf numFmtId="174" fontId="92" fillId="0" borderId="0" xfId="5" applyNumberFormat="1" applyFont="1" applyFill="1" applyBorder="1" applyAlignment="1" applyProtection="1">
      <alignment horizontal="right" vertical="center"/>
      <protection locked="0"/>
    </xf>
    <xf numFmtId="0" fontId="42" fillId="17" borderId="0" xfId="0" applyFont="1" applyFill="1" applyBorder="1" applyAlignment="1" applyProtection="1">
      <alignment vertical="center"/>
    </xf>
    <xf numFmtId="0" fontId="42" fillId="17" borderId="0" xfId="0" applyFont="1" applyFill="1" applyBorder="1" applyProtection="1"/>
    <xf numFmtId="174" fontId="36" fillId="17" borderId="0" xfId="5" applyNumberFormat="1" applyFont="1" applyFill="1" applyBorder="1" applyAlignment="1" applyProtection="1">
      <alignment vertical="center"/>
      <protection locked="0"/>
    </xf>
    <xf numFmtId="177" fontId="32" fillId="17" borderId="0" xfId="5" applyNumberFormat="1" applyFont="1" applyFill="1" applyBorder="1" applyAlignment="1" applyProtection="1">
      <alignment vertical="center"/>
    </xf>
    <xf numFmtId="0" fontId="43" fillId="17" borderId="0" xfId="0" applyFont="1" applyFill="1" applyBorder="1" applyProtection="1"/>
    <xf numFmtId="168" fontId="32" fillId="17" borderId="0" xfId="0" applyNumberFormat="1" applyFont="1" applyFill="1" applyBorder="1" applyAlignment="1" applyProtection="1">
      <alignment vertical="center"/>
    </xf>
    <xf numFmtId="168" fontId="43" fillId="17" borderId="0" xfId="0" applyNumberFormat="1" applyFont="1" applyFill="1" applyBorder="1" applyAlignment="1" applyProtection="1">
      <alignment vertical="center"/>
    </xf>
    <xf numFmtId="168" fontId="32" fillId="17" borderId="0" xfId="5" applyNumberFormat="1" applyFont="1" applyFill="1" applyBorder="1" applyAlignment="1" applyProtection="1">
      <alignment horizontal="center" vertical="center" wrapText="1"/>
    </xf>
    <xf numFmtId="174" fontId="191" fillId="17" borderId="0" xfId="0" applyNumberFormat="1" applyFont="1" applyFill="1" applyBorder="1" applyAlignment="1" applyProtection="1">
      <alignment horizontal="center" vertical="center"/>
    </xf>
    <xf numFmtId="174" fontId="171" fillId="17" borderId="0" xfId="0" applyNumberFormat="1" applyFont="1" applyFill="1" applyBorder="1" applyAlignment="1" applyProtection="1">
      <alignment horizontal="center"/>
    </xf>
    <xf numFmtId="174" fontId="189" fillId="17" borderId="0" xfId="0" applyNumberFormat="1" applyFont="1" applyFill="1" applyBorder="1" applyAlignment="1" applyProtection="1">
      <alignment horizontal="center"/>
    </xf>
    <xf numFmtId="174" fontId="32" fillId="17" borderId="0" xfId="0" applyNumberFormat="1" applyFont="1" applyFill="1" applyBorder="1" applyAlignment="1" applyProtection="1">
      <alignment horizontal="right" vertical="center"/>
    </xf>
    <xf numFmtId="174" fontId="32" fillId="17" borderId="0" xfId="0" applyNumberFormat="1" applyFont="1" applyFill="1" applyBorder="1" applyAlignment="1" applyProtection="1">
      <alignment horizontal="right"/>
    </xf>
    <xf numFmtId="8" fontId="43" fillId="17" borderId="0" xfId="0" applyNumberFormat="1" applyFont="1" applyFill="1" applyBorder="1" applyProtection="1"/>
    <xf numFmtId="8" fontId="32" fillId="17" borderId="0" xfId="0" applyNumberFormat="1" applyFont="1" applyFill="1" applyBorder="1" applyAlignment="1" applyProtection="1">
      <alignment horizontal="center" vertical="center"/>
    </xf>
    <xf numFmtId="8" fontId="32" fillId="17" borderId="0" xfId="0" applyNumberFormat="1" applyFont="1" applyFill="1" applyBorder="1" applyAlignment="1" applyProtection="1">
      <alignment horizontal="left"/>
    </xf>
    <xf numFmtId="8" fontId="52" fillId="17" borderId="0" xfId="0" applyNumberFormat="1" applyFont="1" applyFill="1" applyBorder="1" applyProtection="1"/>
    <xf numFmtId="8" fontId="32" fillId="17" borderId="0" xfId="0" applyNumberFormat="1" applyFont="1" applyFill="1" applyBorder="1" applyProtection="1"/>
    <xf numFmtId="0" fontId="126" fillId="17" borderId="0" xfId="0" applyFont="1" applyFill="1" applyBorder="1" applyProtection="1"/>
    <xf numFmtId="8" fontId="32" fillId="23" borderId="509" xfId="5" applyNumberFormat="1" applyFont="1" applyFill="1" applyBorder="1" applyAlignment="1" applyProtection="1">
      <alignment horizontal="center" vertical="center"/>
    </xf>
    <xf numFmtId="0" fontId="211" fillId="17" borderId="0" xfId="0" applyFont="1" applyFill="1" applyAlignment="1">
      <alignment vertical="center"/>
    </xf>
    <xf numFmtId="0" fontId="0" fillId="17" borderId="0" xfId="0" applyFill="1" applyBorder="1" applyAlignment="1">
      <alignment horizontal="center" vertical="center"/>
    </xf>
    <xf numFmtId="0" fontId="36" fillId="19" borderId="89" xfId="0" applyFont="1" applyFill="1" applyBorder="1" applyProtection="1">
      <protection locked="0"/>
    </xf>
    <xf numFmtId="0" fontId="36" fillId="19" borderId="75" xfId="0" applyFont="1" applyFill="1" applyBorder="1" applyProtection="1">
      <protection locked="0"/>
    </xf>
    <xf numFmtId="9" fontId="36" fillId="19" borderId="87" xfId="0" applyNumberFormat="1" applyFont="1" applyFill="1" applyBorder="1" applyAlignment="1" applyProtection="1">
      <alignment horizontal="center" vertical="center"/>
      <protection locked="0"/>
    </xf>
    <xf numFmtId="9" fontId="36" fillId="19" borderId="87" xfId="5" applyFont="1" applyFill="1" applyBorder="1" applyAlignment="1" applyProtection="1">
      <alignment horizontal="center" vertical="center"/>
      <protection locked="0"/>
    </xf>
    <xf numFmtId="0" fontId="263" fillId="0" borderId="0" xfId="0" applyFont="1" applyFill="1" applyBorder="1" applyAlignment="1">
      <alignment horizontal="left" vertical="center"/>
    </xf>
    <xf numFmtId="0" fontId="262" fillId="0" borderId="0" xfId="0" applyFont="1" applyFill="1" applyBorder="1"/>
    <xf numFmtId="180" fontId="283" fillId="0" borderId="0" xfId="0" applyNumberFormat="1" applyFont="1" applyFill="1" applyBorder="1" applyAlignment="1"/>
    <xf numFmtId="180" fontId="285" fillId="0" borderId="0" xfId="0" applyNumberFormat="1" applyFont="1" applyFill="1" applyBorder="1" applyAlignment="1"/>
    <xf numFmtId="180" fontId="283" fillId="0" borderId="0" xfId="0" applyNumberFormat="1" applyFont="1" applyFill="1" applyBorder="1" applyAlignment="1">
      <alignment horizontal="right" vertical="center"/>
    </xf>
    <xf numFmtId="180" fontId="284" fillId="0" borderId="0" xfId="0" applyNumberFormat="1" applyFont="1" applyFill="1" applyBorder="1" applyAlignment="1">
      <alignment horizontal="right" vertical="center"/>
    </xf>
    <xf numFmtId="3" fontId="121" fillId="0" borderId="21" xfId="0" applyNumberFormat="1" applyFont="1" applyFill="1" applyBorder="1" applyAlignment="1">
      <alignment horizontal="right"/>
    </xf>
    <xf numFmtId="174" fontId="269" fillId="18" borderId="378" xfId="0" applyNumberFormat="1" applyFont="1" applyFill="1" applyBorder="1" applyAlignment="1">
      <alignment vertical="center"/>
    </xf>
    <xf numFmtId="3" fontId="269" fillId="18" borderId="244" xfId="0" applyNumberFormat="1" applyFont="1" applyFill="1" applyBorder="1" applyAlignment="1">
      <alignment vertical="center"/>
    </xf>
    <xf numFmtId="174" fontId="269" fillId="18" borderId="244" xfId="0" applyNumberFormat="1" applyFont="1" applyFill="1" applyBorder="1" applyAlignment="1">
      <alignment vertical="center"/>
    </xf>
    <xf numFmtId="9" fontId="269" fillId="18" borderId="102" xfId="5" applyFont="1" applyFill="1" applyBorder="1" applyAlignment="1">
      <alignment vertical="center"/>
    </xf>
    <xf numFmtId="174" fontId="269" fillId="18" borderId="76" xfId="0" applyNumberFormat="1" applyFont="1" applyFill="1" applyBorder="1" applyAlignment="1">
      <alignment vertical="center"/>
    </xf>
    <xf numFmtId="3" fontId="269" fillId="18" borderId="77" xfId="0" applyNumberFormat="1" applyFont="1" applyFill="1" applyBorder="1" applyAlignment="1">
      <alignment vertical="center"/>
    </xf>
    <xf numFmtId="174" fontId="269" fillId="18" borderId="77" xfId="0" applyNumberFormat="1" applyFont="1" applyFill="1" applyBorder="1" applyAlignment="1">
      <alignment vertical="center"/>
    </xf>
    <xf numFmtId="9" fontId="269" fillId="18" borderId="222" xfId="5" applyFont="1" applyFill="1" applyBorder="1" applyAlignment="1">
      <alignment vertical="center"/>
    </xf>
    <xf numFmtId="174" fontId="270" fillId="18" borderId="379" xfId="0" applyNumberFormat="1" applyFont="1" applyFill="1" applyBorder="1" applyAlignment="1">
      <alignment vertical="center"/>
    </xf>
    <xf numFmtId="3" fontId="269" fillId="18" borderId="380" xfId="0" applyNumberFormat="1" applyFont="1" applyFill="1" applyBorder="1" applyAlignment="1">
      <alignment vertical="center"/>
    </xf>
    <xf numFmtId="174" fontId="270" fillId="18" borderId="380" xfId="0" applyNumberFormat="1" applyFont="1" applyFill="1" applyBorder="1" applyAlignment="1">
      <alignment vertical="center"/>
    </xf>
    <xf numFmtId="9" fontId="270" fillId="18" borderId="381" xfId="5" applyFont="1" applyFill="1" applyBorder="1" applyAlignment="1">
      <alignment vertical="center"/>
    </xf>
    <xf numFmtId="174" fontId="269" fillId="18" borderId="3" xfId="0" applyNumberFormat="1" applyFont="1" applyFill="1" applyBorder="1" applyAlignment="1">
      <alignment vertical="center"/>
    </xf>
    <xf numFmtId="3" fontId="269" fillId="18" borderId="4" xfId="0" applyNumberFormat="1" applyFont="1" applyFill="1" applyBorder="1" applyAlignment="1">
      <alignment vertical="center"/>
    </xf>
    <xf numFmtId="174" fontId="269" fillId="18" borderId="4" xfId="0" applyNumberFormat="1" applyFont="1" applyFill="1" applyBorder="1" applyAlignment="1">
      <alignment vertical="center"/>
    </xf>
    <xf numFmtId="9" fontId="270" fillId="18" borderId="52" xfId="5" applyFont="1" applyFill="1" applyBorder="1" applyAlignment="1">
      <alignment vertical="center"/>
    </xf>
    <xf numFmtId="3" fontId="98" fillId="18" borderId="244" xfId="0" applyNumberFormat="1" applyFont="1" applyFill="1" applyBorder="1" applyAlignment="1">
      <alignment vertical="center"/>
    </xf>
    <xf numFmtId="174" fontId="98" fillId="18" borderId="244" xfId="0" applyNumberFormat="1" applyFont="1" applyFill="1" applyBorder="1" applyAlignment="1">
      <alignment vertical="center"/>
    </xf>
    <xf numFmtId="9" fontId="98" fillId="18" borderId="102" xfId="5" applyFont="1" applyFill="1" applyBorder="1" applyAlignment="1">
      <alignment vertical="center"/>
    </xf>
    <xf numFmtId="3" fontId="98" fillId="18" borderId="77" xfId="0" applyNumberFormat="1" applyFont="1" applyFill="1" applyBorder="1" applyAlignment="1">
      <alignment vertical="center"/>
    </xf>
    <xf numFmtId="174" fontId="98" fillId="18" borderId="77" xfId="0" applyNumberFormat="1" applyFont="1" applyFill="1" applyBorder="1" applyAlignment="1">
      <alignment vertical="center"/>
    </xf>
    <xf numFmtId="9" fontId="98" fillId="18" borderId="222" xfId="5" applyFont="1" applyFill="1" applyBorder="1" applyAlignment="1">
      <alignment vertical="center"/>
    </xf>
    <xf numFmtId="3" fontId="98" fillId="18" borderId="380" xfId="0" applyNumberFormat="1" applyFont="1" applyFill="1" applyBorder="1" applyAlignment="1">
      <alignment vertical="center"/>
    </xf>
    <xf numFmtId="174" fontId="99" fillId="18" borderId="380" xfId="0" applyNumberFormat="1" applyFont="1" applyFill="1" applyBorder="1" applyAlignment="1">
      <alignment vertical="center"/>
    </xf>
    <xf numFmtId="9" fontId="99" fillId="18" borderId="381" xfId="5" applyFont="1" applyFill="1" applyBorder="1" applyAlignment="1">
      <alignment vertical="center"/>
    </xf>
    <xf numFmtId="174" fontId="98" fillId="18" borderId="3" xfId="0" applyNumberFormat="1" applyFont="1" applyFill="1" applyBorder="1" applyAlignment="1">
      <alignment vertical="center"/>
    </xf>
    <xf numFmtId="3" fontId="98" fillId="18" borderId="4" xfId="0" applyNumberFormat="1" applyFont="1" applyFill="1" applyBorder="1" applyAlignment="1">
      <alignment vertical="center"/>
    </xf>
    <xf numFmtId="174" fontId="98" fillId="18" borderId="4" xfId="0" applyNumberFormat="1" applyFont="1" applyFill="1" applyBorder="1" applyAlignment="1">
      <alignment vertical="center"/>
    </xf>
    <xf numFmtId="9" fontId="99" fillId="18" borderId="52" xfId="5" applyFont="1" applyFill="1" applyBorder="1" applyAlignment="1">
      <alignment vertical="center"/>
    </xf>
    <xf numFmtId="3" fontId="119" fillId="0" borderId="11" xfId="0" applyNumberFormat="1" applyFont="1" applyFill="1" applyBorder="1" applyAlignment="1">
      <alignment vertical="center"/>
    </xf>
    <xf numFmtId="0" fontId="0" fillId="0" borderId="0" xfId="0" applyBorder="1" applyAlignment="1">
      <alignment vertical="center"/>
    </xf>
    <xf numFmtId="0" fontId="32" fillId="18" borderId="218" xfId="0" applyNumberFormat="1" applyFont="1" applyFill="1" applyBorder="1" applyAlignment="1" applyProtection="1">
      <alignment horizontal="center" vertical="center" wrapText="1"/>
    </xf>
    <xf numFmtId="0" fontId="32" fillId="18" borderId="232" xfId="0" applyNumberFormat="1" applyFont="1" applyFill="1" applyBorder="1" applyAlignment="1" applyProtection="1">
      <alignment horizontal="center" vertical="center" wrapText="1"/>
    </xf>
    <xf numFmtId="183" fontId="36" fillId="19" borderId="87" xfId="0" applyNumberFormat="1" applyFont="1" applyFill="1" applyBorder="1" applyAlignment="1" applyProtection="1">
      <alignment horizontal="center" vertical="center"/>
      <protection locked="0"/>
    </xf>
    <xf numFmtId="0" fontId="36" fillId="19" borderId="87" xfId="0" applyFont="1" applyFill="1" applyBorder="1" applyAlignment="1" applyProtection="1">
      <alignment horizontal="center" vertical="center"/>
      <protection locked="0"/>
    </xf>
    <xf numFmtId="1" fontId="36" fillId="19" borderId="87" xfId="0" applyNumberFormat="1" applyFont="1" applyFill="1" applyBorder="1" applyAlignment="1" applyProtection="1">
      <alignment horizontal="center" vertical="center"/>
      <protection locked="0"/>
    </xf>
    <xf numFmtId="0" fontId="36" fillId="19" borderId="74" xfId="0" applyFont="1" applyFill="1" applyBorder="1" applyAlignment="1" applyProtection="1">
      <alignment horizontal="center" vertical="center"/>
      <protection locked="0"/>
    </xf>
    <xf numFmtId="0" fontId="35" fillId="0" borderId="74" xfId="0" applyFont="1" applyBorder="1" applyAlignment="1">
      <alignment horizontal="left" vertical="center"/>
    </xf>
    <xf numFmtId="0" fontId="35" fillId="0" borderId="87" xfId="0" applyFont="1" applyBorder="1" applyAlignment="1">
      <alignment horizontal="left" vertical="center"/>
    </xf>
    <xf numFmtId="0" fontId="35" fillId="0" borderId="87" xfId="0" applyFont="1" applyBorder="1" applyAlignment="1">
      <alignment horizontal="left" vertical="center" wrapText="1"/>
    </xf>
    <xf numFmtId="3" fontId="35" fillId="0" borderId="87" xfId="0" applyNumberFormat="1" applyFont="1" applyBorder="1"/>
    <xf numFmtId="177" fontId="32" fillId="25" borderId="373" xfId="0" applyNumberFormat="1" applyFont="1" applyFill="1" applyBorder="1" applyAlignment="1" applyProtection="1">
      <alignment horizontal="center"/>
    </xf>
    <xf numFmtId="177" fontId="32" fillId="25" borderId="373" xfId="0" applyNumberFormat="1" applyFont="1" applyFill="1" applyBorder="1" applyAlignment="1" applyProtection="1">
      <alignment horizontal="center" vertical="center"/>
    </xf>
    <xf numFmtId="3" fontId="32" fillId="25" borderId="54" xfId="0" applyNumberFormat="1" applyFont="1" applyFill="1" applyBorder="1" applyAlignment="1" applyProtection="1"/>
    <xf numFmtId="177" fontId="32" fillId="25" borderId="256" xfId="0" applyNumberFormat="1" applyFont="1" applyFill="1" applyBorder="1" applyAlignment="1" applyProtection="1">
      <alignment horizontal="center" vertical="center"/>
    </xf>
    <xf numFmtId="177" fontId="32" fillId="25" borderId="54" xfId="0" applyNumberFormat="1" applyFont="1" applyFill="1" applyBorder="1" applyAlignment="1" applyProtection="1">
      <alignment horizontal="center"/>
    </xf>
    <xf numFmtId="174" fontId="243" fillId="25" borderId="119" xfId="0" applyNumberFormat="1" applyFont="1" applyFill="1" applyBorder="1" applyAlignment="1">
      <alignment horizontal="center" vertical="center"/>
    </xf>
    <xf numFmtId="0" fontId="287" fillId="0" borderId="0" xfId="0" applyFont="1" applyFill="1" applyBorder="1" applyAlignment="1">
      <alignment horizontal="center" wrapText="1"/>
    </xf>
    <xf numFmtId="0" fontId="13" fillId="0" borderId="0" xfId="0" applyFont="1" applyAlignment="1">
      <alignment horizontal="left" vertical="center"/>
    </xf>
    <xf numFmtId="0" fontId="288" fillId="0" borderId="0" xfId="0" applyFont="1" applyFill="1" applyBorder="1" applyAlignment="1">
      <alignment horizontal="left" vertical="center" wrapText="1"/>
    </xf>
    <xf numFmtId="0" fontId="287" fillId="0" borderId="0" xfId="0" applyFont="1" applyFill="1" applyBorder="1" applyAlignment="1">
      <alignment horizontal="left" vertical="center" wrapText="1"/>
    </xf>
    <xf numFmtId="0" fontId="288" fillId="4" borderId="11" xfId="0" applyFont="1" applyFill="1" applyBorder="1" applyAlignment="1">
      <alignment horizontal="left" vertical="center" wrapText="1"/>
    </xf>
    <xf numFmtId="0" fontId="288" fillId="4" borderId="35" xfId="0" applyFont="1" applyFill="1" applyBorder="1" applyAlignment="1">
      <alignment horizontal="left" vertical="center" wrapText="1"/>
    </xf>
    <xf numFmtId="0" fontId="5" fillId="0" borderId="0" xfId="0" applyFont="1" applyFill="1"/>
    <xf numFmtId="3" fontId="32" fillId="21" borderId="156" xfId="0" applyNumberFormat="1" applyFont="1" applyFill="1" applyBorder="1" applyAlignment="1" applyProtection="1">
      <alignment horizontal="center" vertical="center"/>
    </xf>
    <xf numFmtId="174" fontId="36" fillId="19" borderId="519" xfId="0" applyNumberFormat="1" applyFont="1" applyFill="1" applyBorder="1" applyAlignment="1" applyProtection="1">
      <alignment horizontal="right"/>
      <protection locked="0"/>
    </xf>
    <xf numFmtId="174" fontId="36" fillId="19" borderId="124" xfId="0" applyNumberFormat="1" applyFont="1" applyFill="1" applyBorder="1" applyAlignment="1" applyProtection="1">
      <alignment horizontal="right"/>
      <protection locked="0"/>
    </xf>
    <xf numFmtId="174" fontId="36" fillId="0" borderId="521" xfId="0" applyNumberFormat="1" applyFont="1" applyFill="1" applyBorder="1" applyProtection="1"/>
    <xf numFmtId="174" fontId="36" fillId="0" borderId="124" xfId="0" applyNumberFormat="1" applyFont="1" applyFill="1" applyBorder="1" applyProtection="1"/>
    <xf numFmtId="174" fontId="32" fillId="0" borderId="150" xfId="0" applyNumberFormat="1" applyFont="1" applyFill="1" applyBorder="1" applyProtection="1"/>
    <xf numFmtId="3" fontId="32" fillId="21" borderId="476" xfId="0" applyNumberFormat="1" applyFont="1" applyFill="1" applyBorder="1" applyAlignment="1" applyProtection="1">
      <alignment horizontal="center" vertical="center"/>
    </xf>
    <xf numFmtId="174" fontId="32" fillId="0" borderId="129" xfId="0" applyNumberFormat="1" applyFont="1" applyFill="1" applyBorder="1" applyProtection="1"/>
    <xf numFmtId="174" fontId="256" fillId="22" borderId="116" xfId="0" applyNumberFormat="1" applyFont="1" applyFill="1" applyBorder="1" applyAlignment="1">
      <alignment vertical="center"/>
    </xf>
    <xf numFmtId="174" fontId="256" fillId="22" borderId="419" xfId="0" applyNumberFormat="1" applyFont="1" applyFill="1" applyBorder="1" applyAlignment="1">
      <alignment vertical="center"/>
    </xf>
    <xf numFmtId="174" fontId="256" fillId="22" borderId="148" xfId="0" applyNumberFormat="1" applyFont="1" applyFill="1" applyBorder="1" applyAlignment="1">
      <alignment vertical="center"/>
    </xf>
    <xf numFmtId="174" fontId="36" fillId="0" borderId="82" xfId="0" applyNumberFormat="1" applyFont="1" applyFill="1" applyBorder="1" applyProtection="1"/>
    <xf numFmtId="174" fontId="36" fillId="0" borderId="70" xfId="0" applyNumberFormat="1" applyFont="1" applyFill="1" applyBorder="1" applyProtection="1"/>
    <xf numFmtId="168" fontId="32" fillId="21" borderId="477" xfId="0" applyNumberFormat="1" applyFont="1" applyFill="1" applyBorder="1" applyAlignment="1" applyProtection="1">
      <alignment horizontal="center" vertical="center"/>
    </xf>
    <xf numFmtId="166" fontId="32" fillId="19" borderId="3" xfId="0" applyNumberFormat="1" applyFont="1" applyFill="1" applyBorder="1" applyAlignment="1" applyProtection="1">
      <alignment horizontal="center" vertical="center"/>
      <protection locked="0"/>
    </xf>
    <xf numFmtId="174" fontId="243" fillId="22" borderId="392" xfId="0" applyNumberFormat="1" applyFont="1" applyFill="1" applyBorder="1" applyAlignment="1" applyProtection="1">
      <alignment vertical="center"/>
    </xf>
    <xf numFmtId="168" fontId="32" fillId="21" borderId="476" xfId="0" applyNumberFormat="1" applyFont="1" applyFill="1" applyBorder="1" applyAlignment="1" applyProtection="1">
      <alignment horizontal="center" vertical="center"/>
    </xf>
    <xf numFmtId="166" fontId="32" fillId="19" borderId="90" xfId="0" applyNumberFormat="1" applyFont="1" applyFill="1" applyBorder="1" applyAlignment="1" applyProtection="1">
      <alignment horizontal="center" vertical="center"/>
      <protection locked="0"/>
    </xf>
    <xf numFmtId="174" fontId="243" fillId="22" borderId="273" xfId="0" applyNumberFormat="1" applyFont="1" applyFill="1" applyBorder="1" applyAlignment="1" applyProtection="1">
      <alignment vertical="center"/>
      <protection locked="0"/>
    </xf>
    <xf numFmtId="168" fontId="32" fillId="21" borderId="156" xfId="0" applyNumberFormat="1" applyFont="1" applyFill="1" applyBorder="1" applyAlignment="1" applyProtection="1">
      <alignment horizontal="center" vertical="center"/>
    </xf>
    <xf numFmtId="166" fontId="32" fillId="19" borderId="522" xfId="0" applyNumberFormat="1" applyFont="1" applyFill="1" applyBorder="1" applyAlignment="1" applyProtection="1">
      <alignment horizontal="center" vertical="center"/>
      <protection locked="0"/>
    </xf>
    <xf numFmtId="174" fontId="243" fillId="22" borderId="128" xfId="0" applyNumberFormat="1" applyFont="1" applyFill="1" applyBorder="1" applyAlignment="1" applyProtection="1">
      <alignment vertical="center"/>
    </xf>
    <xf numFmtId="174" fontId="243" fillId="22" borderId="129" xfId="0" applyNumberFormat="1" applyFont="1" applyFill="1" applyBorder="1" applyAlignment="1" applyProtection="1">
      <alignment vertical="center"/>
    </xf>
    <xf numFmtId="174" fontId="243" fillId="22" borderId="139" xfId="0" applyNumberFormat="1" applyFont="1" applyFill="1" applyBorder="1" applyAlignment="1" applyProtection="1">
      <alignment vertical="center"/>
    </xf>
    <xf numFmtId="3" fontId="32" fillId="21" borderId="156" xfId="0" applyNumberFormat="1" applyFont="1" applyFill="1" applyBorder="1" applyAlignment="1">
      <alignment horizontal="center" vertical="center"/>
    </xf>
    <xf numFmtId="166" fontId="36" fillId="0" borderId="129" xfId="0" applyNumberFormat="1" applyFont="1" applyBorder="1" applyAlignment="1">
      <alignment vertical="center"/>
    </xf>
    <xf numFmtId="177" fontId="36" fillId="0" borderId="521" xfId="0" applyNumberFormat="1" applyFont="1" applyBorder="1"/>
    <xf numFmtId="177" fontId="36" fillId="0" borderId="386" xfId="0" applyNumberFormat="1" applyFont="1" applyBorder="1"/>
    <xf numFmtId="177" fontId="32" fillId="0" borderId="419" xfId="0" applyNumberFormat="1" applyFont="1" applyBorder="1" applyAlignment="1">
      <alignment vertical="center"/>
    </xf>
    <xf numFmtId="177" fontId="32" fillId="19" borderId="419" xfId="0" applyNumberFormat="1" applyFont="1" applyFill="1" applyBorder="1" applyAlignment="1" applyProtection="1">
      <alignment horizontal="center" vertical="center"/>
      <protection locked="0"/>
    </xf>
    <xf numFmtId="177" fontId="36" fillId="0" borderId="124" xfId="0" applyNumberFormat="1" applyFont="1" applyBorder="1" applyAlignment="1">
      <alignment vertical="center"/>
    </xf>
    <xf numFmtId="177" fontId="32" fillId="0" borderId="419" xfId="0" applyNumberFormat="1" applyFont="1" applyBorder="1"/>
    <xf numFmtId="177" fontId="238" fillId="22" borderId="419" xfId="0" applyNumberFormat="1" applyFont="1" applyFill="1" applyBorder="1" applyAlignment="1">
      <alignment vertical="center"/>
    </xf>
    <xf numFmtId="168" fontId="32" fillId="21" borderId="485" xfId="0" applyNumberFormat="1" applyFont="1" applyFill="1" applyBorder="1" applyAlignment="1" applyProtection="1">
      <alignment horizontal="center" vertical="center"/>
    </xf>
    <xf numFmtId="177" fontId="32" fillId="0" borderId="150" xfId="0" applyNumberFormat="1" applyFont="1" applyFill="1" applyBorder="1" applyProtection="1"/>
    <xf numFmtId="177" fontId="32" fillId="0" borderId="129" xfId="0" applyNumberFormat="1" applyFont="1" applyFill="1" applyBorder="1" applyProtection="1"/>
    <xf numFmtId="177" fontId="243" fillId="22" borderId="419" xfId="0" applyNumberFormat="1" applyFont="1" applyFill="1" applyBorder="1" applyAlignment="1" applyProtection="1">
      <alignment vertical="center"/>
    </xf>
    <xf numFmtId="177" fontId="243" fillId="22" borderId="495" xfId="0" applyNumberFormat="1" applyFont="1" applyFill="1" applyBorder="1" applyAlignment="1" applyProtection="1">
      <alignment vertical="center"/>
    </xf>
    <xf numFmtId="177" fontId="243" fillId="22" borderId="496" xfId="0" applyNumberFormat="1" applyFont="1" applyFill="1" applyBorder="1" applyAlignment="1" applyProtection="1">
      <alignment vertical="center"/>
    </xf>
    <xf numFmtId="168" fontId="32" fillId="21" borderId="501" xfId="0" applyNumberFormat="1" applyFont="1" applyFill="1" applyBorder="1" applyAlignment="1" applyProtection="1">
      <alignment horizontal="center" vertical="center"/>
    </xf>
    <xf numFmtId="177" fontId="32" fillId="0" borderId="139" xfId="0" applyNumberFormat="1" applyFont="1" applyFill="1" applyBorder="1" applyProtection="1"/>
    <xf numFmtId="177" fontId="243" fillId="22" borderId="419" xfId="0" applyNumberFormat="1" applyFont="1" applyFill="1" applyBorder="1" applyAlignment="1">
      <alignment vertical="center"/>
    </xf>
    <xf numFmtId="177" fontId="36" fillId="0" borderId="123" xfId="0" applyNumberFormat="1" applyFont="1" applyBorder="1" applyAlignment="1">
      <alignment vertical="center"/>
    </xf>
    <xf numFmtId="8" fontId="35" fillId="0" borderId="217" xfId="0" applyNumberFormat="1" applyFont="1" applyFill="1" applyBorder="1" applyAlignment="1" applyProtection="1">
      <alignment horizontal="left"/>
    </xf>
    <xf numFmtId="8" fontId="237" fillId="0" borderId="158" xfId="0" applyNumberFormat="1" applyFont="1" applyFill="1" applyBorder="1" applyAlignment="1" applyProtection="1">
      <alignment horizontal="left"/>
    </xf>
    <xf numFmtId="8" fontId="237" fillId="0" borderId="55" xfId="0" applyNumberFormat="1" applyFont="1" applyFill="1" applyBorder="1" applyAlignment="1" applyProtection="1">
      <alignment horizontal="left"/>
    </xf>
    <xf numFmtId="0" fontId="281" fillId="21" borderId="523" xfId="0" applyFont="1" applyFill="1" applyBorder="1" applyAlignment="1" applyProtection="1">
      <alignment vertical="center" wrapText="1"/>
    </xf>
    <xf numFmtId="0" fontId="36" fillId="0" borderId="503" xfId="0" applyFont="1" applyFill="1" applyBorder="1" applyAlignment="1" applyProtection="1">
      <alignment vertical="center"/>
    </xf>
    <xf numFmtId="0" fontId="36" fillId="0" borderId="190" xfId="0" applyFont="1" applyFill="1" applyBorder="1" applyAlignment="1" applyProtection="1">
      <alignment vertical="center"/>
    </xf>
    <xf numFmtId="174" fontId="43" fillId="19" borderId="51" xfId="5" applyNumberFormat="1" applyFont="1" applyFill="1" applyBorder="1" applyAlignment="1" applyProtection="1">
      <alignment horizontal="right" vertical="center"/>
      <protection locked="0"/>
    </xf>
    <xf numFmtId="177" fontId="32" fillId="21" borderId="482" xfId="5" applyNumberFormat="1" applyFont="1" applyFill="1" applyBorder="1" applyAlignment="1" applyProtection="1">
      <alignment horizontal="right" vertical="center"/>
    </xf>
    <xf numFmtId="181" fontId="261" fillId="0" borderId="524" xfId="0" applyNumberFormat="1" applyFont="1" applyFill="1" applyBorder="1" applyAlignment="1" applyProtection="1">
      <alignment horizontal="right" vertical="center"/>
    </xf>
    <xf numFmtId="174" fontId="36" fillId="19" borderId="383" xfId="5" applyNumberFormat="1" applyFont="1" applyFill="1" applyBorder="1" applyAlignment="1" applyProtection="1">
      <alignment horizontal="right" vertical="center"/>
      <protection locked="0"/>
    </xf>
    <xf numFmtId="174" fontId="36" fillId="19" borderId="107" xfId="0" applyNumberFormat="1" applyFont="1" applyFill="1" applyBorder="1" applyAlignment="1" applyProtection="1">
      <alignment horizontal="right" vertical="center"/>
      <protection locked="0"/>
    </xf>
    <xf numFmtId="174" fontId="36" fillId="19" borderId="227" xfId="5" applyNumberFormat="1" applyFont="1" applyFill="1" applyBorder="1" applyAlignment="1" applyProtection="1">
      <alignment horizontal="right" vertical="center"/>
      <protection locked="0"/>
    </xf>
    <xf numFmtId="174" fontId="32" fillId="21" borderId="277" xfId="0" applyNumberFormat="1" applyFont="1" applyFill="1" applyBorder="1" applyAlignment="1" applyProtection="1">
      <alignment vertical="center"/>
    </xf>
    <xf numFmtId="174" fontId="36" fillId="19" borderId="229" xfId="5" applyNumberFormat="1" applyFont="1" applyFill="1" applyBorder="1" applyAlignment="1" applyProtection="1">
      <alignment vertical="center"/>
      <protection locked="0"/>
    </xf>
    <xf numFmtId="174" fontId="36" fillId="19" borderId="107" xfId="5" applyNumberFormat="1" applyFont="1" applyFill="1" applyBorder="1" applyAlignment="1" applyProtection="1">
      <alignment vertical="center"/>
      <protection locked="0"/>
    </xf>
    <xf numFmtId="174" fontId="36" fillId="19" borderId="227" xfId="5" applyNumberFormat="1" applyFont="1" applyFill="1" applyBorder="1" applyAlignment="1" applyProtection="1">
      <alignment vertical="center"/>
      <protection locked="0"/>
    </xf>
    <xf numFmtId="174" fontId="36" fillId="19" borderId="224" xfId="5" applyNumberFormat="1" applyFont="1" applyFill="1" applyBorder="1" applyAlignment="1" applyProtection="1">
      <alignment vertical="center"/>
      <protection locked="0"/>
    </xf>
    <xf numFmtId="174" fontId="36" fillId="19" borderId="227" xfId="0" applyNumberFormat="1" applyFont="1" applyFill="1" applyBorder="1" applyProtection="1">
      <protection locked="0"/>
    </xf>
    <xf numFmtId="177" fontId="36" fillId="19" borderId="110" xfId="5" applyNumberFormat="1" applyFont="1" applyFill="1" applyBorder="1" applyAlignment="1" applyProtection="1">
      <alignment horizontal="right" vertical="center"/>
      <protection locked="0"/>
    </xf>
    <xf numFmtId="177" fontId="32" fillId="21" borderId="277" xfId="5" applyNumberFormat="1" applyFont="1" applyFill="1" applyBorder="1" applyAlignment="1" applyProtection="1">
      <alignment horizontal="right" vertical="center"/>
    </xf>
    <xf numFmtId="177" fontId="36" fillId="19" borderId="107" xfId="5" applyNumberFormat="1" applyFont="1" applyFill="1" applyBorder="1" applyAlignment="1" applyProtection="1">
      <alignment horizontal="right" vertical="center"/>
      <protection locked="0"/>
    </xf>
    <xf numFmtId="177" fontId="36" fillId="19" borderId="383" xfId="5" applyNumberFormat="1" applyFont="1" applyFill="1" applyBorder="1" applyAlignment="1" applyProtection="1">
      <alignment horizontal="right" vertical="center"/>
      <protection locked="0"/>
    </xf>
    <xf numFmtId="177" fontId="3" fillId="0" borderId="514" xfId="0" applyNumberFormat="1" applyFont="1" applyFill="1" applyBorder="1" applyAlignment="1">
      <alignment horizontal="right" vertical="center"/>
    </xf>
    <xf numFmtId="174" fontId="36" fillId="19" borderId="110" xfId="5" applyNumberFormat="1" applyFont="1" applyFill="1" applyBorder="1" applyAlignment="1" applyProtection="1">
      <alignment vertical="center"/>
      <protection locked="0"/>
    </xf>
    <xf numFmtId="177" fontId="118" fillId="0" borderId="514" xfId="0" applyNumberFormat="1" applyFont="1" applyFill="1" applyBorder="1" applyAlignment="1">
      <alignment horizontal="center" vertical="center"/>
    </xf>
    <xf numFmtId="174" fontId="261" fillId="0" borderId="482" xfId="0" applyNumberFormat="1" applyFont="1" applyFill="1" applyBorder="1" applyAlignment="1" applyProtection="1">
      <alignment horizontal="right" vertical="center"/>
    </xf>
    <xf numFmtId="174" fontId="36" fillId="19" borderId="229" xfId="0" applyNumberFormat="1" applyFont="1" applyFill="1" applyBorder="1" applyAlignment="1" applyProtection="1">
      <alignment horizontal="right" vertical="center"/>
      <protection locked="0"/>
    </xf>
    <xf numFmtId="174" fontId="36" fillId="19" borderId="227" xfId="0" applyNumberFormat="1" applyFont="1" applyFill="1" applyBorder="1" applyAlignment="1" applyProtection="1">
      <alignment horizontal="right" vertical="center"/>
      <protection locked="0"/>
    </xf>
    <xf numFmtId="174" fontId="36" fillId="19" borderId="224" xfId="0" applyNumberFormat="1" applyFont="1" applyFill="1" applyBorder="1" applyAlignment="1" applyProtection="1">
      <alignment horizontal="right" vertical="center"/>
      <protection locked="0"/>
    </xf>
    <xf numFmtId="174" fontId="261" fillId="4" borderId="525" xfId="0" applyNumberFormat="1" applyFont="1" applyFill="1" applyBorder="1" applyAlignment="1" applyProtection="1">
      <alignment horizontal="right" vertical="center"/>
    </xf>
    <xf numFmtId="181" fontId="37" fillId="0" borderId="414" xfId="0" applyNumberFormat="1" applyFont="1" applyBorder="1" applyAlignment="1">
      <alignment horizontal="center"/>
    </xf>
    <xf numFmtId="0" fontId="0" fillId="0" borderId="526" xfId="0" applyBorder="1"/>
    <xf numFmtId="168" fontId="0" fillId="0" borderId="527" xfId="0" applyNumberFormat="1" applyBorder="1" applyAlignment="1">
      <alignment horizontal="center" vertical="center"/>
    </xf>
    <xf numFmtId="174" fontId="32" fillId="22" borderId="528" xfId="0" applyNumberFormat="1" applyFont="1" applyFill="1" applyBorder="1" applyAlignment="1">
      <alignment vertical="center"/>
    </xf>
    <xf numFmtId="174" fontId="124" fillId="12" borderId="521" xfId="0" applyNumberFormat="1" applyFont="1" applyFill="1" applyBorder="1" applyAlignment="1" applyProtection="1">
      <alignment vertical="center"/>
    </xf>
    <xf numFmtId="174" fontId="36" fillId="0" borderId="521" xfId="0" applyNumberFormat="1" applyFont="1" applyFill="1" applyBorder="1" applyAlignment="1">
      <alignment vertical="center"/>
    </xf>
    <xf numFmtId="174" fontId="32" fillId="22" borderId="521" xfId="0" applyNumberFormat="1" applyFont="1" applyFill="1" applyBorder="1" applyAlignment="1">
      <alignment vertical="center"/>
    </xf>
    <xf numFmtId="174" fontId="36" fillId="19" borderId="521" xfId="0" applyNumberFormat="1" applyFont="1" applyFill="1" applyBorder="1" applyAlignment="1" applyProtection="1">
      <alignment vertical="center"/>
      <protection locked="0"/>
    </xf>
    <xf numFmtId="174" fontId="36" fillId="10" borderId="521" xfId="0" applyNumberFormat="1" applyFont="1" applyFill="1" applyBorder="1" applyAlignment="1" applyProtection="1">
      <alignment vertical="center"/>
      <protection locked="0"/>
    </xf>
    <xf numFmtId="174" fontId="36" fillId="10" borderId="386" xfId="0" applyNumberFormat="1" applyFont="1" applyFill="1" applyBorder="1" applyAlignment="1" applyProtection="1">
      <alignment vertical="center"/>
      <protection locked="0"/>
    </xf>
    <xf numFmtId="174" fontId="36" fillId="0" borderId="521" xfId="0" applyNumberFormat="1" applyFont="1" applyFill="1" applyBorder="1" applyAlignment="1" applyProtection="1">
      <alignment vertical="center"/>
    </xf>
    <xf numFmtId="174" fontId="36" fillId="0" borderId="521" xfId="0" applyNumberFormat="1" applyFont="1" applyFill="1" applyBorder="1" applyAlignment="1" applyProtection="1">
      <alignment vertical="center"/>
      <protection locked="0"/>
    </xf>
    <xf numFmtId="174" fontId="36" fillId="19" borderId="521" xfId="0" applyNumberFormat="1" applyFont="1" applyFill="1" applyBorder="1" applyAlignment="1" applyProtection="1">
      <alignment vertical="center"/>
    </xf>
    <xf numFmtId="174" fontId="36" fillId="0" borderId="521" xfId="0" applyNumberFormat="1" applyFont="1" applyBorder="1" applyAlignment="1">
      <alignment vertical="center"/>
    </xf>
    <xf numFmtId="174" fontId="32" fillId="0" borderId="521" xfId="0" applyNumberFormat="1" applyFont="1" applyBorder="1" applyAlignment="1">
      <alignment vertical="center"/>
    </xf>
    <xf numFmtId="174" fontId="32" fillId="20" borderId="128" xfId="0" applyNumberFormat="1" applyFont="1" applyFill="1" applyBorder="1" applyAlignment="1">
      <alignment vertical="center"/>
    </xf>
    <xf numFmtId="174" fontId="36" fillId="3" borderId="521" xfId="0" applyNumberFormat="1" applyFont="1" applyFill="1" applyBorder="1" applyAlignment="1" applyProtection="1">
      <alignment vertical="center"/>
      <protection locked="0"/>
    </xf>
    <xf numFmtId="174" fontId="36" fillId="4" borderId="521" xfId="0" applyNumberFormat="1" applyFont="1" applyFill="1" applyBorder="1" applyAlignment="1" applyProtection="1">
      <alignment vertical="center"/>
    </xf>
    <xf numFmtId="9" fontId="36" fillId="19" borderId="514" xfId="5" applyNumberFormat="1" applyFont="1" applyFill="1" applyBorder="1" applyAlignment="1" applyProtection="1">
      <alignment horizontal="right" vertical="center"/>
      <protection locked="0"/>
    </xf>
    <xf numFmtId="9" fontId="36" fillId="19" borderId="237" xfId="0" applyNumberFormat="1" applyFont="1" applyFill="1" applyBorder="1" applyAlignment="1" applyProtection="1">
      <alignment horizontal="right" vertical="center"/>
      <protection locked="0"/>
    </xf>
    <xf numFmtId="9" fontId="36" fillId="19" borderId="38" xfId="5" applyNumberFormat="1" applyFont="1" applyFill="1" applyBorder="1" applyAlignment="1" applyProtection="1">
      <alignment horizontal="right" vertical="center"/>
      <protection locked="0"/>
    </xf>
    <xf numFmtId="9" fontId="36" fillId="19" borderId="127" xfId="5" applyNumberFormat="1" applyFont="1" applyFill="1" applyBorder="1" applyAlignment="1" applyProtection="1">
      <alignment horizontal="right" vertical="center"/>
      <protection locked="0"/>
    </xf>
    <xf numFmtId="174" fontId="43" fillId="19" borderId="529" xfId="5" applyNumberFormat="1" applyFont="1" applyFill="1" applyBorder="1" applyAlignment="1" applyProtection="1">
      <alignment horizontal="right" vertical="center"/>
      <protection locked="0"/>
    </xf>
    <xf numFmtId="174" fontId="43" fillId="19" borderId="530" xfId="0" applyNumberFormat="1" applyFont="1" applyFill="1" applyBorder="1" applyAlignment="1" applyProtection="1">
      <alignment horizontal="right" vertical="center"/>
      <protection locked="0"/>
    </xf>
    <xf numFmtId="174" fontId="43" fillId="19" borderId="531" xfId="5" applyNumberFormat="1" applyFont="1" applyFill="1" applyBorder="1" applyAlignment="1" applyProtection="1">
      <alignment horizontal="right" vertical="center"/>
      <protection locked="0"/>
    </xf>
    <xf numFmtId="174" fontId="43" fillId="19" borderId="532" xfId="5" applyNumberFormat="1" applyFont="1" applyFill="1" applyBorder="1" applyAlignment="1" applyProtection="1">
      <alignment horizontal="right" vertical="center"/>
      <protection locked="0"/>
    </xf>
    <xf numFmtId="9" fontId="36" fillId="19" borderId="514" xfId="0" applyNumberFormat="1" applyFont="1" applyFill="1" applyBorder="1" applyAlignment="1" applyProtection="1">
      <alignment horizontal="right" vertical="center"/>
      <protection locked="0"/>
    </xf>
    <xf numFmtId="9" fontId="36" fillId="19" borderId="489" xfId="5" applyNumberFormat="1" applyFont="1" applyFill="1" applyBorder="1" applyAlignment="1" applyProtection="1">
      <alignment horizontal="right" vertical="center"/>
      <protection locked="0"/>
    </xf>
    <xf numFmtId="174" fontId="43" fillId="19" borderId="529" xfId="0" applyNumberFormat="1" applyFont="1" applyFill="1" applyBorder="1" applyAlignment="1" applyProtection="1">
      <alignment horizontal="right" vertical="center"/>
      <protection locked="0"/>
    </xf>
    <xf numFmtId="174" fontId="43" fillId="19" borderId="292" xfId="5" applyNumberFormat="1" applyFont="1" applyFill="1" applyBorder="1" applyAlignment="1" applyProtection="1">
      <alignment horizontal="right" vertical="center"/>
      <protection locked="0"/>
    </xf>
    <xf numFmtId="174" fontId="43" fillId="19" borderId="292" xfId="5" applyNumberFormat="1" applyFont="1" applyFill="1" applyBorder="1" applyAlignment="1" applyProtection="1">
      <alignment vertical="center"/>
      <protection locked="0"/>
    </xf>
    <xf numFmtId="3" fontId="32" fillId="21" borderId="509" xfId="0" applyNumberFormat="1" applyFont="1" applyFill="1" applyBorder="1" applyAlignment="1" applyProtection="1">
      <alignment horizontal="center" vertical="center"/>
    </xf>
    <xf numFmtId="174" fontId="32" fillId="22" borderId="528" xfId="0" applyNumberFormat="1" applyFont="1" applyFill="1" applyBorder="1" applyProtection="1"/>
    <xf numFmtId="177" fontId="36" fillId="0" borderId="521" xfId="0" applyNumberFormat="1" applyFont="1" applyFill="1" applyBorder="1" applyProtection="1"/>
    <xf numFmtId="177" fontId="36" fillId="19" borderId="521" xfId="0" applyNumberFormat="1" applyFont="1" applyFill="1" applyBorder="1" applyProtection="1">
      <protection locked="0"/>
    </xf>
    <xf numFmtId="177" fontId="32" fillId="22" borderId="521" xfId="0" applyNumberFormat="1" applyFont="1" applyFill="1" applyBorder="1" applyProtection="1"/>
    <xf numFmtId="177" fontId="36" fillId="0" borderId="521" xfId="0" applyNumberFormat="1" applyFont="1" applyFill="1" applyBorder="1" applyProtection="1">
      <protection locked="0"/>
    </xf>
    <xf numFmtId="177" fontId="174" fillId="4" borderId="521" xfId="0" applyNumberFormat="1" applyFont="1" applyFill="1" applyBorder="1" applyProtection="1"/>
    <xf numFmtId="177" fontId="163" fillId="19" borderId="521" xfId="0" applyNumberFormat="1" applyFont="1" applyFill="1" applyBorder="1" applyProtection="1">
      <protection locked="0"/>
    </xf>
    <xf numFmtId="177" fontId="36" fillId="0" borderId="124" xfId="0" applyNumberFormat="1" applyFont="1" applyFill="1" applyBorder="1" applyProtection="1">
      <protection locked="0"/>
    </xf>
    <xf numFmtId="177" fontId="36" fillId="0" borderId="386" xfId="0" applyNumberFormat="1" applyFont="1" applyFill="1" applyBorder="1" applyProtection="1"/>
    <xf numFmtId="177" fontId="32" fillId="0" borderId="521" xfId="0" applyNumberFormat="1" applyFont="1" applyFill="1" applyBorder="1" applyProtection="1"/>
    <xf numFmtId="174" fontId="32" fillId="20" borderId="521" xfId="0" applyNumberFormat="1" applyFont="1" applyFill="1" applyBorder="1" applyProtection="1"/>
    <xf numFmtId="174" fontId="32" fillId="22" borderId="128" xfId="0" applyNumberFormat="1" applyFont="1" applyFill="1" applyBorder="1" applyProtection="1"/>
    <xf numFmtId="3" fontId="32" fillId="21" borderId="477" xfId="0" applyNumberFormat="1" applyFont="1" applyFill="1" applyBorder="1" applyAlignment="1" applyProtection="1">
      <alignment horizontal="center" vertical="center"/>
    </xf>
    <xf numFmtId="174" fontId="32" fillId="22" borderId="378" xfId="0" applyNumberFormat="1" applyFont="1" applyFill="1" applyBorder="1" applyProtection="1"/>
    <xf numFmtId="177" fontId="36" fillId="19" borderId="81" xfId="0" applyNumberFormat="1" applyFont="1" applyFill="1" applyBorder="1" applyProtection="1">
      <protection locked="0"/>
    </xf>
    <xf numFmtId="177" fontId="36" fillId="0" borderId="391" xfId="0" applyNumberFormat="1" applyFont="1" applyFill="1" applyBorder="1" applyProtection="1"/>
    <xf numFmtId="177" fontId="32" fillId="22" borderId="81" xfId="0" applyNumberFormat="1" applyFont="1" applyFill="1" applyBorder="1" applyProtection="1"/>
    <xf numFmtId="177" fontId="36" fillId="0" borderId="81" xfId="0" applyNumberFormat="1" applyFont="1" applyFill="1" applyBorder="1" applyProtection="1">
      <protection locked="0"/>
    </xf>
    <xf numFmtId="177" fontId="174" fillId="19" borderId="81" xfId="0" applyNumberFormat="1" applyFont="1" applyFill="1" applyBorder="1" applyProtection="1">
      <protection locked="0"/>
    </xf>
    <xf numFmtId="177" fontId="32" fillId="0" borderId="81" xfId="0" applyNumberFormat="1" applyFont="1" applyFill="1" applyBorder="1" applyProtection="1"/>
    <xf numFmtId="174" fontId="32" fillId="20" borderId="391" xfId="0" applyNumberFormat="1" applyFont="1" applyFill="1" applyBorder="1" applyProtection="1"/>
    <xf numFmtId="174" fontId="32" fillId="22" borderId="392" xfId="0" applyNumberFormat="1" applyFont="1" applyFill="1" applyBorder="1" applyProtection="1"/>
    <xf numFmtId="177" fontId="36" fillId="4" borderId="89" xfId="0" applyNumberFormat="1" applyFont="1" applyFill="1" applyBorder="1" applyProtection="1"/>
    <xf numFmtId="177" fontId="36" fillId="4" borderId="386" xfId="0" applyNumberFormat="1" applyFont="1" applyFill="1" applyBorder="1" applyProtection="1"/>
    <xf numFmtId="177" fontId="174" fillId="19" borderId="521" xfId="0" applyNumberFormat="1" applyFont="1" applyFill="1" applyBorder="1" applyProtection="1">
      <protection locked="0"/>
    </xf>
    <xf numFmtId="177" fontId="36" fillId="0" borderId="386" xfId="0" applyNumberFormat="1" applyFont="1" applyFill="1" applyBorder="1" applyProtection="1">
      <protection locked="0"/>
    </xf>
    <xf numFmtId="177" fontId="36" fillId="8" borderId="124" xfId="0" applyNumberFormat="1" applyFont="1" applyFill="1" applyBorder="1" applyProtection="1">
      <protection locked="0"/>
    </xf>
    <xf numFmtId="3" fontId="32" fillId="21" borderId="20" xfId="0" applyNumberFormat="1" applyFont="1" applyFill="1" applyBorder="1" applyAlignment="1" applyProtection="1">
      <alignment horizontal="center" vertical="center"/>
    </xf>
    <xf numFmtId="174" fontId="36" fillId="19" borderId="249" xfId="0" applyNumberFormat="1" applyFont="1" applyFill="1" applyBorder="1" applyAlignment="1" applyProtection="1">
      <alignment horizontal="center" vertical="center"/>
      <protection locked="0"/>
    </xf>
    <xf numFmtId="174" fontId="36" fillId="19" borderId="533" xfId="0" applyNumberFormat="1" applyFont="1" applyFill="1" applyBorder="1" applyAlignment="1" applyProtection="1">
      <alignment horizontal="center" vertical="center"/>
      <protection locked="0"/>
    </xf>
    <xf numFmtId="174" fontId="36" fillId="0" borderId="391" xfId="0" applyNumberFormat="1" applyFont="1" applyFill="1" applyBorder="1" applyAlignment="1" applyProtection="1">
      <alignment horizontal="center" vertical="center"/>
    </xf>
    <xf numFmtId="174" fontId="36" fillId="0" borderId="396" xfId="5" applyNumberFormat="1" applyFont="1" applyFill="1" applyBorder="1" applyAlignment="1" applyProtection="1">
      <alignment horizontal="center"/>
    </xf>
    <xf numFmtId="174" fontId="36" fillId="19" borderId="512" xfId="0" applyNumberFormat="1" applyFont="1" applyFill="1" applyBorder="1" applyAlignment="1" applyProtection="1">
      <alignment horizontal="center" vertical="center"/>
      <protection locked="0"/>
    </xf>
    <xf numFmtId="174" fontId="36" fillId="19" borderId="534" xfId="0" applyNumberFormat="1" applyFont="1" applyFill="1" applyBorder="1" applyAlignment="1" applyProtection="1">
      <alignment horizontal="center" vertical="center"/>
      <protection locked="0"/>
    </xf>
    <xf numFmtId="174" fontId="36" fillId="0" borderId="237" xfId="0" applyNumberFormat="1" applyFont="1" applyFill="1" applyBorder="1" applyAlignment="1" applyProtection="1">
      <alignment horizontal="center" vertical="center"/>
    </xf>
    <xf numFmtId="3" fontId="32" fillId="21" borderId="126" xfId="0" applyNumberFormat="1" applyFont="1" applyFill="1" applyBorder="1" applyAlignment="1" applyProtection="1">
      <alignment horizontal="center" vertical="center"/>
    </xf>
    <xf numFmtId="174" fontId="36" fillId="19" borderId="123" xfId="0" applyNumberFormat="1" applyFont="1" applyFill="1" applyBorder="1" applyAlignment="1" applyProtection="1">
      <alignment horizontal="center" vertical="center"/>
      <protection locked="0"/>
    </xf>
    <xf numFmtId="174" fontId="36" fillId="19" borderId="520" xfId="0" applyNumberFormat="1" applyFont="1" applyFill="1" applyBorder="1" applyAlignment="1" applyProtection="1">
      <alignment horizontal="center" vertical="center"/>
      <protection locked="0"/>
    </xf>
    <xf numFmtId="174" fontId="36" fillId="0" borderId="386" xfId="0" applyNumberFormat="1" applyFont="1" applyFill="1" applyBorder="1" applyAlignment="1" applyProtection="1">
      <alignment horizontal="center" vertical="center"/>
    </xf>
    <xf numFmtId="174" fontId="36" fillId="0" borderId="114" xfId="5" applyNumberFormat="1" applyFont="1" applyFill="1" applyBorder="1" applyAlignment="1" applyProtection="1">
      <alignment horizontal="center"/>
    </xf>
    <xf numFmtId="3" fontId="36" fillId="26" borderId="237" xfId="0" applyNumberFormat="1" applyFont="1" applyFill="1" applyBorder="1" applyProtection="1"/>
    <xf numFmtId="3" fontId="32" fillId="21" borderId="513" xfId="0" applyNumberFormat="1" applyFont="1" applyFill="1" applyBorder="1" applyAlignment="1" applyProtection="1">
      <alignment horizontal="center" vertical="center"/>
    </xf>
    <xf numFmtId="174" fontId="36" fillId="19" borderId="511" xfId="0" applyNumberFormat="1" applyFont="1" applyFill="1" applyBorder="1" applyAlignment="1" applyProtection="1">
      <alignment horizontal="center" vertical="center"/>
      <protection locked="0"/>
    </xf>
    <xf numFmtId="174" fontId="36" fillId="19" borderId="535" xfId="0" applyNumberFormat="1" applyFont="1" applyFill="1" applyBorder="1" applyAlignment="1" applyProtection="1">
      <alignment horizontal="center" vertical="center"/>
      <protection locked="0"/>
    </xf>
    <xf numFmtId="3" fontId="49"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3" fontId="36" fillId="0" borderId="0" xfId="0" applyNumberFormat="1" applyFont="1" applyFill="1" applyBorder="1" applyAlignment="1" applyProtection="1">
      <alignment horizontal="left"/>
    </xf>
    <xf numFmtId="3" fontId="174" fillId="0" borderId="0" xfId="0" applyNumberFormat="1" applyFont="1" applyFill="1" applyBorder="1" applyProtection="1"/>
    <xf numFmtId="2" fontId="36" fillId="0" borderId="0" xfId="3" applyNumberFormat="1" applyFont="1" applyFill="1" applyBorder="1" applyProtection="1"/>
    <xf numFmtId="3" fontId="163" fillId="0" borderId="0" xfId="0" applyNumberFormat="1" applyFont="1" applyFill="1" applyBorder="1" applyProtection="1"/>
    <xf numFmtId="3" fontId="32" fillId="0" borderId="0" xfId="0" applyNumberFormat="1" applyFont="1" applyFill="1" applyBorder="1" applyAlignment="1" applyProtection="1">
      <alignment vertical="center" wrapText="1"/>
    </xf>
    <xf numFmtId="3" fontId="39" fillId="18" borderId="481" xfId="0" applyNumberFormat="1" applyFont="1" applyFill="1" applyBorder="1" applyAlignment="1">
      <alignment horizontal="right" vertical="center"/>
    </xf>
    <xf numFmtId="3" fontId="32" fillId="21" borderId="491" xfId="0" applyNumberFormat="1" applyFont="1" applyFill="1" applyBorder="1" applyAlignment="1" applyProtection="1">
      <alignment horizontal="center" vertical="center"/>
    </xf>
    <xf numFmtId="3" fontId="32" fillId="22" borderId="464" xfId="0" applyNumberFormat="1" applyFont="1" applyFill="1" applyBorder="1" applyProtection="1"/>
    <xf numFmtId="3" fontId="36" fillId="0" borderId="289" xfId="0" applyNumberFormat="1" applyFont="1" applyFill="1" applyBorder="1" applyProtection="1"/>
    <xf numFmtId="3" fontId="36" fillId="25" borderId="289" xfId="0" applyNumberFormat="1" applyFont="1" applyFill="1" applyBorder="1" applyProtection="1"/>
    <xf numFmtId="3" fontId="32" fillId="22" borderId="289" xfId="0" applyNumberFormat="1" applyFont="1" applyFill="1" applyBorder="1" applyProtection="1"/>
    <xf numFmtId="3" fontId="36" fillId="24" borderId="289" xfId="0" applyNumberFormat="1" applyFont="1" applyFill="1" applyBorder="1" applyProtection="1"/>
    <xf numFmtId="3" fontId="36" fillId="0" borderId="289" xfId="0" applyNumberFormat="1" applyFont="1" applyFill="1" applyBorder="1" applyAlignment="1" applyProtection="1">
      <alignment horizontal="left"/>
    </xf>
    <xf numFmtId="3" fontId="174" fillId="24" borderId="289" xfId="0" applyNumberFormat="1" applyFont="1" applyFill="1" applyBorder="1" applyProtection="1"/>
    <xf numFmtId="2" fontId="36" fillId="0" borderId="289" xfId="3" applyNumberFormat="1" applyFont="1" applyFill="1" applyBorder="1" applyProtection="1"/>
    <xf numFmtId="3" fontId="163" fillId="24" borderId="289" xfId="0" applyNumberFormat="1" applyFont="1" applyFill="1" applyBorder="1" applyProtection="1"/>
    <xf numFmtId="3" fontId="32" fillId="0" borderId="289" xfId="0" applyNumberFormat="1" applyFont="1" applyFill="1" applyBorder="1" applyProtection="1"/>
    <xf numFmtId="3" fontId="32" fillId="20" borderId="289" xfId="0" applyNumberFormat="1" applyFont="1" applyFill="1" applyBorder="1" applyProtection="1"/>
    <xf numFmtId="3" fontId="32" fillId="22" borderId="190" xfId="0" applyNumberFormat="1" applyFont="1" applyFill="1" applyBorder="1" applyProtection="1"/>
    <xf numFmtId="3" fontId="32" fillId="21" borderId="536" xfId="0" applyNumberFormat="1" applyFont="1" applyFill="1" applyBorder="1" applyAlignment="1" applyProtection="1">
      <alignment horizontal="center" vertical="center"/>
    </xf>
    <xf numFmtId="174" fontId="32" fillId="22" borderId="537" xfId="0" applyNumberFormat="1" applyFont="1" applyFill="1" applyBorder="1" applyProtection="1"/>
    <xf numFmtId="177" fontId="36" fillId="0" borderId="538" xfId="0" applyNumberFormat="1" applyFont="1" applyFill="1" applyBorder="1" applyProtection="1"/>
    <xf numFmtId="177" fontId="36" fillId="19" borderId="538" xfId="0" applyNumberFormat="1" applyFont="1" applyFill="1" applyBorder="1" applyProtection="1">
      <protection locked="0"/>
    </xf>
    <xf numFmtId="177" fontId="32" fillId="22" borderId="538" xfId="0" applyNumberFormat="1" applyFont="1" applyFill="1" applyBorder="1" applyProtection="1"/>
    <xf numFmtId="177" fontId="36" fillId="0" borderId="538" xfId="0" applyNumberFormat="1" applyFont="1" applyFill="1" applyBorder="1" applyProtection="1">
      <protection locked="0"/>
    </xf>
    <xf numFmtId="177" fontId="174" fillId="4" borderId="538" xfId="0" applyNumberFormat="1" applyFont="1" applyFill="1" applyBorder="1" applyProtection="1"/>
    <xf numFmtId="177" fontId="163" fillId="19" borderId="538" xfId="0" applyNumberFormat="1" applyFont="1" applyFill="1" applyBorder="1" applyProtection="1">
      <protection locked="0"/>
    </xf>
    <xf numFmtId="177" fontId="36" fillId="0" borderId="539" xfId="0" applyNumberFormat="1" applyFont="1" applyFill="1" applyBorder="1" applyProtection="1">
      <protection locked="0"/>
    </xf>
    <xf numFmtId="177" fontId="36" fillId="0" borderId="540" xfId="0" applyNumberFormat="1" applyFont="1" applyFill="1" applyBorder="1" applyProtection="1"/>
    <xf numFmtId="177" fontId="32" fillId="0" borderId="538" xfId="0" applyNumberFormat="1" applyFont="1" applyFill="1" applyBorder="1" applyProtection="1"/>
    <xf numFmtId="174" fontId="32" fillId="20" borderId="538" xfId="0" applyNumberFormat="1" applyFont="1" applyFill="1" applyBorder="1" applyProtection="1"/>
    <xf numFmtId="174" fontId="32" fillId="22" borderId="541" xfId="0" applyNumberFormat="1" applyFont="1" applyFill="1" applyBorder="1" applyProtection="1"/>
    <xf numFmtId="3" fontId="32" fillId="0" borderId="163" xfId="0" applyNumberFormat="1" applyFont="1" applyFill="1" applyBorder="1" applyProtection="1"/>
    <xf numFmtId="174" fontId="36" fillId="0" borderId="508" xfId="5" applyNumberFormat="1" applyFont="1" applyFill="1" applyBorder="1" applyAlignment="1" applyProtection="1">
      <alignment horizontal="center"/>
    </xf>
    <xf numFmtId="0" fontId="262" fillId="0" borderId="0" xfId="0" applyFont="1" applyBorder="1"/>
    <xf numFmtId="3" fontId="283" fillId="0" borderId="542" xfId="0" applyNumberFormat="1" applyFont="1" applyBorder="1" applyAlignment="1"/>
    <xf numFmtId="3" fontId="284" fillId="0" borderId="542" xfId="0" applyNumberFormat="1" applyFont="1" applyBorder="1" applyAlignment="1"/>
    <xf numFmtId="180" fontId="283" fillId="0" borderId="542" xfId="0" applyNumberFormat="1" applyFont="1" applyFill="1" applyBorder="1" applyAlignment="1"/>
    <xf numFmtId="3" fontId="285" fillId="0" borderId="542" xfId="0" applyNumberFormat="1" applyFont="1" applyFill="1" applyBorder="1" applyAlignment="1"/>
    <xf numFmtId="180" fontId="32" fillId="0" borderId="0" xfId="0" applyNumberFormat="1" applyFont="1" applyBorder="1"/>
    <xf numFmtId="177" fontId="36" fillId="10" borderId="543" xfId="0" applyNumberFormat="1" applyFont="1" applyFill="1" applyBorder="1" applyAlignment="1" applyProtection="1">
      <alignment horizontal="right" vertical="center"/>
      <protection locked="0"/>
    </xf>
    <xf numFmtId="177" fontId="36" fillId="10" borderId="544" xfId="0" applyNumberFormat="1" applyFont="1" applyFill="1" applyBorder="1" applyAlignment="1" applyProtection="1">
      <alignment horizontal="right" vertical="center"/>
      <protection locked="0"/>
    </xf>
    <xf numFmtId="177" fontId="36" fillId="19" borderId="545" xfId="0" applyNumberFormat="1" applyFont="1" applyFill="1" applyBorder="1" applyAlignment="1" applyProtection="1">
      <alignment horizontal="right" vertical="center"/>
      <protection locked="0"/>
    </xf>
    <xf numFmtId="3" fontId="32" fillId="23" borderId="547" xfId="0" applyNumberFormat="1" applyFont="1" applyFill="1" applyBorder="1" applyAlignment="1">
      <alignment horizontal="center" vertical="center"/>
    </xf>
    <xf numFmtId="177" fontId="36" fillId="10" borderId="548" xfId="0" applyNumberFormat="1" applyFont="1" applyFill="1" applyBorder="1" applyAlignment="1" applyProtection="1">
      <alignment horizontal="right" vertical="center"/>
      <protection locked="0"/>
    </xf>
    <xf numFmtId="177" fontId="32" fillId="22" borderId="546" xfId="0" applyNumberFormat="1" applyFont="1" applyFill="1" applyBorder="1" applyAlignment="1">
      <alignment horizontal="center" vertical="center"/>
    </xf>
    <xf numFmtId="3" fontId="32" fillId="21" borderId="547" xfId="0" applyNumberFormat="1" applyFont="1" applyFill="1" applyBorder="1" applyAlignment="1">
      <alignment horizontal="center" vertical="center"/>
    </xf>
    <xf numFmtId="3" fontId="32" fillId="19" borderId="549" xfId="0" applyNumberFormat="1" applyFont="1" applyFill="1" applyBorder="1" applyAlignment="1" applyProtection="1">
      <protection locked="0"/>
    </xf>
    <xf numFmtId="3" fontId="293" fillId="0" borderId="238" xfId="0" applyNumberFormat="1" applyFont="1" applyFill="1" applyBorder="1" applyAlignment="1"/>
    <xf numFmtId="3" fontId="32" fillId="19" borderId="550" xfId="0" applyNumberFormat="1" applyFont="1" applyFill="1" applyBorder="1" applyAlignment="1" applyProtection="1">
      <protection locked="0"/>
    </xf>
    <xf numFmtId="3" fontId="293" fillId="0" borderId="239" xfId="0" applyNumberFormat="1" applyFont="1" applyFill="1" applyBorder="1" applyAlignment="1"/>
    <xf numFmtId="3" fontId="32" fillId="19" borderId="551" xfId="0" applyNumberFormat="1" applyFont="1" applyFill="1" applyBorder="1" applyAlignment="1" applyProtection="1">
      <protection locked="0"/>
    </xf>
    <xf numFmtId="3" fontId="293" fillId="0" borderId="545" xfId="0" applyNumberFormat="1" applyFont="1" applyFill="1" applyBorder="1" applyAlignment="1"/>
    <xf numFmtId="185" fontId="258" fillId="22" borderId="17" xfId="3" applyNumberFormat="1" applyFont="1" applyFill="1" applyBorder="1" applyAlignment="1">
      <alignment horizontal="center" vertical="center"/>
    </xf>
    <xf numFmtId="3" fontId="258" fillId="22" borderId="314" xfId="3" applyNumberFormat="1" applyFont="1" applyFill="1" applyBorder="1" applyAlignment="1">
      <alignment horizontal="center" vertical="center"/>
    </xf>
    <xf numFmtId="0" fontId="0" fillId="0" borderId="0" xfId="0" applyFont="1" applyAlignment="1"/>
    <xf numFmtId="3" fontId="32" fillId="19" borderId="502" xfId="0" applyNumberFormat="1" applyFont="1" applyFill="1" applyBorder="1" applyAlignment="1" applyProtection="1">
      <alignment horizontal="right" vertical="center"/>
      <protection locked="0"/>
    </xf>
    <xf numFmtId="3" fontId="32" fillId="19" borderId="552" xfId="0" applyNumberFormat="1" applyFont="1" applyFill="1" applyBorder="1" applyAlignment="1" applyProtection="1">
      <alignment horizontal="right" vertical="center"/>
      <protection locked="0"/>
    </xf>
    <xf numFmtId="3" fontId="32" fillId="19" borderId="514" xfId="0" applyNumberFormat="1" applyFont="1" applyFill="1" applyBorder="1" applyAlignment="1" applyProtection="1">
      <alignment horizontal="right" vertical="center"/>
      <protection locked="0"/>
    </xf>
    <xf numFmtId="3" fontId="293" fillId="0" borderId="238" xfId="0" applyNumberFormat="1" applyFont="1" applyFill="1" applyBorder="1" applyAlignment="1">
      <alignment horizontal="right" vertical="center"/>
    </xf>
    <xf numFmtId="3" fontId="293" fillId="0" borderId="545" xfId="0" applyNumberFormat="1" applyFont="1" applyFill="1" applyBorder="1" applyAlignment="1">
      <alignment horizontal="right" vertical="center"/>
    </xf>
    <xf numFmtId="3" fontId="293" fillId="0" borderId="239" xfId="0" applyNumberFormat="1" applyFont="1" applyFill="1" applyBorder="1" applyAlignment="1">
      <alignment horizontal="right" vertical="center"/>
    </xf>
    <xf numFmtId="3" fontId="32" fillId="0" borderId="148" xfId="0" applyNumberFormat="1" applyFont="1" applyBorder="1" applyAlignment="1">
      <alignment horizontal="center" vertical="center"/>
    </xf>
    <xf numFmtId="0" fontId="90" fillId="0" borderId="0" xfId="0" applyFont="1" applyAlignment="1"/>
    <xf numFmtId="0" fontId="92" fillId="0" borderId="0" xfId="0" applyFont="1" applyAlignment="1"/>
    <xf numFmtId="0" fontId="90" fillId="0" borderId="0" xfId="0" applyFont="1"/>
    <xf numFmtId="0" fontId="32" fillId="25" borderId="444" xfId="0" applyFont="1" applyFill="1" applyBorder="1" applyAlignment="1">
      <alignment horizontal="center" vertical="center"/>
    </xf>
    <xf numFmtId="178" fontId="32" fillId="25" borderId="445" xfId="0" applyNumberFormat="1" applyFont="1" applyFill="1" applyBorder="1" applyAlignment="1">
      <alignment horizontal="center" vertical="center"/>
    </xf>
    <xf numFmtId="165" fontId="32" fillId="25" borderId="446" xfId="3" applyFont="1" applyFill="1" applyBorder="1" applyAlignment="1">
      <alignment horizontal="center" vertical="center"/>
    </xf>
    <xf numFmtId="2" fontId="32" fillId="25" borderId="445" xfId="0" applyNumberFormat="1" applyFont="1" applyFill="1" applyBorder="1" applyAlignment="1">
      <alignment horizontal="center" vertical="center"/>
    </xf>
    <xf numFmtId="0" fontId="0" fillId="18" borderId="0" xfId="0" applyFill="1"/>
    <xf numFmtId="0" fontId="3" fillId="18" borderId="0" xfId="0" applyFont="1" applyFill="1" applyAlignment="1">
      <alignment horizontal="left"/>
    </xf>
    <xf numFmtId="0" fontId="7" fillId="18" borderId="0" xfId="0" applyFont="1" applyFill="1"/>
    <xf numFmtId="3" fontId="7" fillId="18" borderId="0" xfId="0" applyNumberFormat="1" applyFont="1" applyFill="1"/>
    <xf numFmtId="3" fontId="8" fillId="18" borderId="0" xfId="0" applyNumberFormat="1" applyFont="1" applyFill="1"/>
    <xf numFmtId="3" fontId="200" fillId="18" borderId="0" xfId="0" applyNumberFormat="1" applyFont="1" applyFill="1"/>
    <xf numFmtId="3" fontId="201" fillId="18" borderId="0" xfId="0" applyNumberFormat="1" applyFont="1" applyFill="1"/>
    <xf numFmtId="3" fontId="202" fillId="18" borderId="0" xfId="0" applyNumberFormat="1" applyFont="1" applyFill="1"/>
    <xf numFmtId="3" fontId="43" fillId="18" borderId="0" xfId="0" applyNumberFormat="1" applyFont="1" applyFill="1"/>
    <xf numFmtId="3" fontId="32" fillId="18" borderId="0" xfId="0" applyNumberFormat="1" applyFont="1" applyFill="1" applyBorder="1" applyAlignment="1">
      <alignment horizontal="center" vertical="center"/>
    </xf>
    <xf numFmtId="3" fontId="32" fillId="18" borderId="0" xfId="0" applyNumberFormat="1" applyFont="1" applyFill="1" applyBorder="1" applyAlignment="1">
      <alignment horizontal="center" vertical="center" wrapText="1"/>
    </xf>
    <xf numFmtId="0" fontId="0" fillId="18" borderId="0" xfId="0" applyFill="1" applyBorder="1" applyAlignment="1">
      <alignment horizontal="center" vertical="center" wrapText="1"/>
    </xf>
    <xf numFmtId="174" fontId="32" fillId="18" borderId="0" xfId="0" applyNumberFormat="1" applyFont="1" applyFill="1" applyBorder="1" applyAlignment="1" applyProtection="1">
      <alignment vertical="center"/>
    </xf>
    <xf numFmtId="3" fontId="8" fillId="18" borderId="0" xfId="0" applyNumberFormat="1" applyFont="1" applyFill="1" applyBorder="1" applyAlignment="1">
      <alignment vertical="center"/>
    </xf>
    <xf numFmtId="3" fontId="35" fillId="18" borderId="0" xfId="0" applyNumberFormat="1" applyFont="1" applyFill="1" applyBorder="1" applyAlignment="1" applyProtection="1">
      <alignment vertical="center" wrapText="1"/>
    </xf>
    <xf numFmtId="0" fontId="0" fillId="18" borderId="0" xfId="0" applyFont="1" applyFill="1" applyBorder="1" applyAlignment="1">
      <alignment vertical="center" wrapText="1"/>
    </xf>
    <xf numFmtId="3" fontId="283" fillId="0" borderId="553" xfId="0" applyNumberFormat="1" applyFont="1" applyBorder="1" applyAlignment="1"/>
    <xf numFmtId="3" fontId="284" fillId="0" borderId="553" xfId="0" applyNumberFormat="1" applyFont="1" applyBorder="1" applyAlignment="1"/>
    <xf numFmtId="3" fontId="283" fillId="0" borderId="553" xfId="0" applyNumberFormat="1" applyFont="1" applyFill="1" applyBorder="1" applyAlignment="1">
      <alignment horizontal="right" vertical="center"/>
    </xf>
    <xf numFmtId="3" fontId="284" fillId="0" borderId="553" xfId="0" applyNumberFormat="1" applyFont="1" applyFill="1" applyBorder="1" applyAlignment="1">
      <alignment horizontal="right" vertical="center"/>
    </xf>
    <xf numFmtId="0" fontId="0" fillId="0" borderId="0" xfId="0"/>
    <xf numFmtId="3" fontId="249" fillId="0" borderId="542" xfId="0" applyNumberFormat="1" applyFont="1" applyBorder="1" applyAlignment="1"/>
    <xf numFmtId="3" fontId="249" fillId="0" borderId="542" xfId="0" applyNumberFormat="1" applyFont="1" applyFill="1" applyBorder="1" applyAlignment="1"/>
    <xf numFmtId="3" fontId="249" fillId="0" borderId="553" xfId="0" applyNumberFormat="1" applyFont="1" applyBorder="1" applyAlignment="1"/>
    <xf numFmtId="3" fontId="249" fillId="0" borderId="553" xfId="0" applyNumberFormat="1" applyFont="1" applyFill="1" applyBorder="1" applyAlignment="1">
      <alignment horizontal="right" vertical="center"/>
    </xf>
    <xf numFmtId="180" fontId="33" fillId="0" borderId="0" xfId="0" applyNumberFormat="1" applyFont="1" applyFill="1" applyBorder="1"/>
    <xf numFmtId="3" fontId="32" fillId="18" borderId="0" xfId="0" applyNumberFormat="1" applyFont="1" applyFill="1" applyBorder="1" applyProtection="1"/>
    <xf numFmtId="177" fontId="32" fillId="18" borderId="0" xfId="0" applyNumberFormat="1" applyFont="1" applyFill="1" applyBorder="1" applyAlignment="1" applyProtection="1">
      <alignment horizontal="right" vertical="center"/>
    </xf>
    <xf numFmtId="0" fontId="36" fillId="18" borderId="0" xfId="0" applyFont="1" applyFill="1"/>
    <xf numFmtId="0" fontId="37" fillId="18" borderId="0" xfId="0" applyFont="1" applyFill="1"/>
    <xf numFmtId="3" fontId="37" fillId="18" borderId="0" xfId="0" applyNumberFormat="1" applyFont="1" applyFill="1" applyBorder="1" applyAlignment="1">
      <alignment vertical="center"/>
    </xf>
    <xf numFmtId="3" fontId="35" fillId="18" borderId="0" xfId="0" applyNumberFormat="1" applyFont="1" applyFill="1" applyBorder="1" applyAlignment="1">
      <alignment vertical="center"/>
    </xf>
    <xf numFmtId="0" fontId="32" fillId="18" borderId="0" xfId="0" applyFont="1" applyFill="1" applyBorder="1" applyAlignment="1" applyProtection="1">
      <alignment horizontal="center" vertical="center"/>
    </xf>
    <xf numFmtId="0" fontId="0" fillId="18" borderId="0" xfId="0" applyFill="1" applyBorder="1" applyAlignment="1"/>
    <xf numFmtId="8" fontId="32" fillId="18" borderId="0" xfId="5" applyNumberFormat="1" applyFont="1" applyFill="1" applyBorder="1" applyAlignment="1" applyProtection="1">
      <alignment horizontal="center" vertical="center"/>
    </xf>
    <xf numFmtId="178" fontId="32" fillId="18" borderId="0" xfId="5" applyNumberFormat="1" applyFont="1" applyFill="1" applyBorder="1" applyAlignment="1" applyProtection="1">
      <alignment horizontal="center" vertical="center"/>
    </xf>
    <xf numFmtId="0" fontId="0" fillId="18" borderId="0" xfId="0" applyFill="1" applyBorder="1" applyAlignment="1">
      <alignment horizontal="center" vertical="center"/>
    </xf>
    <xf numFmtId="8" fontId="32" fillId="18" borderId="0" xfId="5" applyNumberFormat="1" applyFont="1" applyFill="1" applyBorder="1" applyAlignment="1" applyProtection="1">
      <alignment horizontal="center" vertical="center" wrapText="1"/>
    </xf>
    <xf numFmtId="8" fontId="43" fillId="18" borderId="0" xfId="0" applyNumberFormat="1" applyFont="1" applyFill="1" applyBorder="1" applyAlignment="1" applyProtection="1"/>
    <xf numFmtId="8" fontId="43" fillId="18" borderId="0" xfId="0" applyNumberFormat="1" applyFont="1" applyFill="1" applyBorder="1" applyAlignment="1" applyProtection="1">
      <alignment horizontal="center"/>
    </xf>
    <xf numFmtId="0" fontId="43" fillId="18" borderId="0" xfId="0" applyFont="1" applyFill="1" applyBorder="1" applyAlignment="1" applyProtection="1"/>
    <xf numFmtId="0" fontId="43" fillId="18" borderId="0" xfId="0" applyFont="1" applyFill="1" applyBorder="1" applyProtection="1"/>
    <xf numFmtId="8" fontId="92" fillId="27" borderId="123" xfId="5" applyNumberFormat="1" applyFont="1" applyFill="1" applyBorder="1" applyAlignment="1" applyProtection="1">
      <alignment horizontal="center" vertical="center" wrapText="1"/>
    </xf>
    <xf numFmtId="8" fontId="92" fillId="27" borderId="124" xfId="5" applyNumberFormat="1" applyFont="1" applyFill="1" applyBorder="1" applyAlignment="1" applyProtection="1">
      <alignment horizontal="center" vertical="center" wrapText="1"/>
    </xf>
    <xf numFmtId="8" fontId="92" fillId="27" borderId="128" xfId="5" applyNumberFormat="1" applyFont="1" applyFill="1" applyBorder="1" applyAlignment="1" applyProtection="1">
      <alignment horizontal="center" vertical="center" wrapText="1"/>
    </xf>
    <xf numFmtId="174" fontId="32" fillId="27" borderId="507" xfId="0" applyNumberFormat="1" applyFont="1" applyFill="1" applyBorder="1" applyAlignment="1" applyProtection="1">
      <alignment vertical="center"/>
    </xf>
    <xf numFmtId="0" fontId="39" fillId="27" borderId="128" xfId="0" applyFont="1" applyFill="1" applyBorder="1" applyProtection="1"/>
    <xf numFmtId="44" fontId="295" fillId="0" borderId="542" xfId="0" applyNumberFormat="1" applyFont="1" applyBorder="1" applyAlignment="1">
      <alignment horizontal="left" vertical="center"/>
    </xf>
    <xf numFmtId="44" fontId="295" fillId="0" borderId="0" xfId="0" applyNumberFormat="1" applyFont="1" applyBorder="1" applyAlignment="1">
      <alignment horizontal="left" vertical="center"/>
    </xf>
    <xf numFmtId="181" fontId="296" fillId="0" borderId="0" xfId="0" applyNumberFormat="1" applyFont="1" applyBorder="1" applyAlignment="1">
      <alignment horizontal="center"/>
    </xf>
    <xf numFmtId="181" fontId="296" fillId="0" borderId="542" xfId="0" applyNumberFormat="1" applyFont="1" applyBorder="1" applyAlignment="1">
      <alignment horizontal="center"/>
    </xf>
    <xf numFmtId="3" fontId="252" fillId="0" borderId="0" xfId="0" applyNumberFormat="1" applyFont="1" applyFill="1" applyBorder="1" applyAlignment="1">
      <alignment horizontal="center" vertical="center"/>
    </xf>
    <xf numFmtId="0" fontId="211" fillId="0" borderId="0" xfId="0" applyFont="1" applyFill="1" applyBorder="1" applyAlignment="1">
      <alignment horizontal="center" vertical="center"/>
    </xf>
    <xf numFmtId="0" fontId="211" fillId="0" borderId="0" xfId="0" applyFont="1" applyFill="1" applyBorder="1" applyAlignment="1">
      <alignment vertical="center"/>
    </xf>
    <xf numFmtId="3" fontId="32" fillId="18" borderId="170" xfId="0" applyNumberFormat="1" applyFont="1" applyFill="1" applyBorder="1" applyAlignment="1">
      <alignment horizontal="center" vertical="center"/>
    </xf>
    <xf numFmtId="3" fontId="32" fillId="18" borderId="287" xfId="0" applyNumberFormat="1" applyFont="1" applyFill="1" applyBorder="1" applyAlignment="1">
      <alignment horizontal="center" vertical="center"/>
    </xf>
    <xf numFmtId="3" fontId="32" fillId="18" borderId="52" xfId="0" applyNumberFormat="1" applyFont="1" applyFill="1" applyBorder="1" applyAlignment="1">
      <alignment horizontal="center" vertical="center"/>
    </xf>
    <xf numFmtId="0" fontId="0" fillId="0" borderId="0" xfId="0" applyBorder="1" applyAlignment="1"/>
    <xf numFmtId="0" fontId="0" fillId="0" borderId="0" xfId="0"/>
    <xf numFmtId="0" fontId="37" fillId="0" borderId="89" xfId="0" applyFont="1" applyFill="1" applyBorder="1" applyAlignment="1">
      <alignment wrapText="1"/>
    </xf>
    <xf numFmtId="3" fontId="32" fillId="18" borderId="253" xfId="0" applyNumberFormat="1" applyFont="1" applyFill="1" applyBorder="1" applyAlignment="1">
      <alignment horizontal="right" vertical="center"/>
    </xf>
    <xf numFmtId="174" fontId="32" fillId="18" borderId="86" xfId="0" applyNumberFormat="1" applyFont="1" applyFill="1" applyBorder="1" applyAlignment="1" applyProtection="1">
      <alignment horizontal="right" vertical="center"/>
      <protection locked="0"/>
    </xf>
    <xf numFmtId="166" fontId="32" fillId="18" borderId="237" xfId="5" applyNumberFormat="1" applyFont="1" applyFill="1" applyBorder="1" applyAlignment="1">
      <alignment horizontal="right" vertical="center"/>
    </xf>
    <xf numFmtId="174" fontId="32" fillId="18" borderId="254" xfId="0" applyNumberFormat="1" applyFont="1" applyFill="1" applyBorder="1" applyAlignment="1">
      <alignment horizontal="right" vertical="center"/>
    </xf>
    <xf numFmtId="166" fontId="32" fillId="18" borderId="89" xfId="5" applyNumberFormat="1" applyFont="1" applyFill="1" applyBorder="1" applyAlignment="1">
      <alignment horizontal="right" vertical="center"/>
    </xf>
    <xf numFmtId="166" fontId="32" fillId="18" borderId="237" xfId="0" applyNumberFormat="1" applyFont="1" applyFill="1" applyBorder="1" applyAlignment="1">
      <alignment horizontal="right" vertical="center"/>
    </xf>
    <xf numFmtId="166" fontId="36" fillId="18" borderId="237" xfId="0" applyNumberFormat="1" applyFont="1" applyFill="1" applyBorder="1" applyAlignment="1" applyProtection="1">
      <alignment horizontal="right" vertical="center"/>
    </xf>
    <xf numFmtId="3" fontId="32" fillId="18" borderId="160" xfId="0" applyNumberFormat="1" applyFont="1" applyFill="1" applyBorder="1" applyAlignment="1">
      <alignment horizontal="right" vertical="center"/>
    </xf>
    <xf numFmtId="166" fontId="32" fillId="18" borderId="237" xfId="0" applyNumberFormat="1" applyFont="1" applyFill="1" applyBorder="1" applyAlignment="1" applyProtection="1">
      <alignment horizontal="right" vertical="center"/>
    </xf>
    <xf numFmtId="174" fontId="32" fillId="18" borderId="89" xfId="0" applyNumberFormat="1" applyFont="1" applyFill="1" applyBorder="1" applyAlignment="1">
      <alignment horizontal="right" vertical="center"/>
    </xf>
    <xf numFmtId="166" fontId="32" fillId="18" borderId="89" xfId="0" applyNumberFormat="1" applyFont="1" applyFill="1" applyBorder="1" applyAlignment="1">
      <alignment horizontal="right" vertical="center"/>
    </xf>
    <xf numFmtId="3" fontId="32" fillId="18" borderId="256" xfId="0" applyNumberFormat="1" applyFont="1" applyFill="1" applyBorder="1" applyAlignment="1">
      <alignment horizontal="right" vertical="center"/>
    </xf>
    <xf numFmtId="174" fontId="32" fillId="18" borderId="257" xfId="0" applyNumberFormat="1" applyFont="1" applyFill="1" applyBorder="1" applyAlignment="1">
      <alignment horizontal="right" vertical="center"/>
    </xf>
    <xf numFmtId="166" fontId="32" fillId="18" borderId="258" xfId="5" applyNumberFormat="1" applyFont="1" applyFill="1" applyBorder="1" applyAlignment="1">
      <alignment horizontal="right" vertical="center"/>
    </xf>
    <xf numFmtId="166" fontId="32" fillId="18" borderId="259" xfId="5" applyNumberFormat="1" applyFont="1" applyFill="1" applyBorder="1" applyAlignment="1">
      <alignment horizontal="right" vertical="center"/>
    </xf>
    <xf numFmtId="166" fontId="32" fillId="18" borderId="258" xfId="0" applyNumberFormat="1" applyFont="1" applyFill="1" applyBorder="1" applyAlignment="1">
      <alignment horizontal="right" vertical="center"/>
    </xf>
    <xf numFmtId="3" fontId="32" fillId="18" borderId="260" xfId="0" applyNumberFormat="1" applyFont="1" applyFill="1" applyBorder="1" applyAlignment="1">
      <alignment horizontal="right" vertical="center"/>
    </xf>
    <xf numFmtId="174" fontId="32" fillId="18" borderId="261" xfId="0" applyNumberFormat="1" applyFont="1" applyFill="1" applyBorder="1" applyAlignment="1">
      <alignment horizontal="right" vertical="center"/>
    </xf>
    <xf numFmtId="166" fontId="32" fillId="18" borderId="262" xfId="5" applyNumberFormat="1" applyFont="1" applyFill="1" applyBorder="1" applyAlignment="1">
      <alignment horizontal="right" vertical="center"/>
    </xf>
    <xf numFmtId="166" fontId="32" fillId="18" borderId="263" xfId="5" applyNumberFormat="1" applyFont="1" applyFill="1" applyBorder="1" applyAlignment="1">
      <alignment horizontal="right" vertical="center"/>
    </xf>
    <xf numFmtId="166" fontId="32" fillId="18" borderId="262" xfId="0" applyNumberFormat="1" applyFont="1" applyFill="1" applyBorder="1" applyAlignment="1">
      <alignment horizontal="right" vertical="center"/>
    </xf>
    <xf numFmtId="3" fontId="32" fillId="18" borderId="230" xfId="0" applyNumberFormat="1" applyFont="1" applyFill="1" applyBorder="1" applyAlignment="1">
      <alignment horizontal="right" vertical="center"/>
    </xf>
    <xf numFmtId="174" fontId="32" fillId="18" borderId="238" xfId="0" applyNumberFormat="1" applyFont="1" applyFill="1" applyBorder="1" applyAlignment="1">
      <alignment horizontal="right" vertical="center"/>
    </xf>
    <xf numFmtId="166" fontId="32" fillId="18" borderId="239" xfId="5" applyNumberFormat="1" applyFont="1" applyFill="1" applyBorder="1" applyAlignment="1">
      <alignment horizontal="right" vertical="center"/>
    </xf>
    <xf numFmtId="166" fontId="32" fillId="18" borderId="121" xfId="5" applyNumberFormat="1" applyFont="1" applyFill="1" applyBorder="1" applyAlignment="1">
      <alignment horizontal="right" vertical="center"/>
    </xf>
    <xf numFmtId="166" fontId="32" fillId="18" borderId="239" xfId="0" applyNumberFormat="1" applyFont="1" applyFill="1" applyBorder="1" applyAlignment="1">
      <alignment horizontal="right" vertical="center"/>
    </xf>
    <xf numFmtId="0" fontId="0" fillId="0" borderId="0" xfId="0" applyFont="1"/>
    <xf numFmtId="0" fontId="300" fillId="0" borderId="0" xfId="0" applyFont="1"/>
    <xf numFmtId="0" fontId="302" fillId="0" borderId="0" xfId="0" applyFont="1"/>
    <xf numFmtId="0" fontId="16" fillId="0" borderId="0" xfId="0" applyFont="1"/>
    <xf numFmtId="0" fontId="306" fillId="0" borderId="554" xfId="0" applyFont="1" applyBorder="1" applyAlignment="1">
      <alignment horizontal="left" vertical="center"/>
    </xf>
    <xf numFmtId="177" fontId="306" fillId="0" borderId="557" xfId="0" applyNumberFormat="1" applyFont="1" applyBorder="1" applyAlignment="1">
      <alignment horizontal="right" vertical="center"/>
    </xf>
    <xf numFmtId="9" fontId="306" fillId="0" borderId="556" xfId="5" applyFont="1" applyBorder="1" applyAlignment="1">
      <alignment horizontal="right" vertical="center"/>
    </xf>
    <xf numFmtId="0" fontId="307" fillId="0" borderId="0" xfId="0" applyFont="1" applyAlignment="1">
      <alignment horizontal="right" vertical="center"/>
    </xf>
    <xf numFmtId="177" fontId="306" fillId="0" borderId="555" xfId="0" applyNumberFormat="1" applyFont="1" applyBorder="1" applyAlignment="1">
      <alignment horizontal="right" vertical="center"/>
    </xf>
    <xf numFmtId="174" fontId="36" fillId="19" borderId="172" xfId="0" applyNumberFormat="1" applyFont="1" applyFill="1" applyBorder="1" applyProtection="1">
      <protection locked="0"/>
    </xf>
    <xf numFmtId="174" fontId="36" fillId="19" borderId="103" xfId="0" applyNumberFormat="1" applyFont="1" applyFill="1" applyBorder="1" applyProtection="1">
      <protection locked="0"/>
    </xf>
    <xf numFmtId="174" fontId="36" fillId="19" borderId="191" xfId="0" applyNumberFormat="1" applyFont="1" applyFill="1" applyBorder="1" applyProtection="1">
      <protection locked="0"/>
    </xf>
    <xf numFmtId="174" fontId="36" fillId="19" borderId="173" xfId="0" applyNumberFormat="1" applyFont="1" applyFill="1" applyBorder="1" applyProtection="1">
      <protection locked="0"/>
    </xf>
    <xf numFmtId="174" fontId="36" fillId="19" borderId="50" xfId="0" applyNumberFormat="1" applyFont="1" applyFill="1" applyBorder="1" applyProtection="1">
      <protection locked="0"/>
    </xf>
    <xf numFmtId="174" fontId="36" fillId="19" borderId="48" xfId="0" applyNumberFormat="1" applyFont="1" applyFill="1" applyBorder="1" applyProtection="1">
      <protection locked="0"/>
    </xf>
    <xf numFmtId="166" fontId="36" fillId="19" borderId="245" xfId="0" applyNumberFormat="1" applyFont="1" applyFill="1" applyBorder="1" applyAlignment="1" applyProtection="1">
      <alignment horizontal="right"/>
      <protection locked="0"/>
    </xf>
    <xf numFmtId="166" fontId="36" fillId="19" borderId="261" xfId="0" applyNumberFormat="1" applyFont="1" applyFill="1" applyBorder="1" applyAlignment="1" applyProtection="1">
      <alignment horizontal="right"/>
      <protection locked="0"/>
    </xf>
    <xf numFmtId="166" fontId="36" fillId="19" borderId="257" xfId="0" applyNumberFormat="1" applyFont="1" applyFill="1" applyBorder="1" applyAlignment="1" applyProtection="1">
      <alignment horizontal="right"/>
      <protection locked="0"/>
    </xf>
    <xf numFmtId="166" fontId="32" fillId="19" borderId="261" xfId="0" applyNumberFormat="1" applyFont="1" applyFill="1" applyBorder="1" applyAlignment="1" applyProtection="1">
      <alignment horizontal="right"/>
      <protection locked="0"/>
    </xf>
    <xf numFmtId="166" fontId="36" fillId="19" borderId="252" xfId="0" applyNumberFormat="1" applyFont="1" applyFill="1" applyBorder="1" applyAlignment="1" applyProtection="1">
      <alignment horizontal="right"/>
      <protection locked="0"/>
    </xf>
    <xf numFmtId="166" fontId="36" fillId="19" borderId="281" xfId="0" applyNumberFormat="1" applyFont="1" applyFill="1" applyBorder="1" applyAlignment="1" applyProtection="1">
      <alignment horizontal="right"/>
      <protection locked="0"/>
    </xf>
    <xf numFmtId="166" fontId="36" fillId="19" borderId="282" xfId="0" applyNumberFormat="1" applyFont="1" applyFill="1" applyBorder="1" applyAlignment="1" applyProtection="1">
      <alignment horizontal="right"/>
      <protection locked="0"/>
    </xf>
    <xf numFmtId="166" fontId="32" fillId="19" borderId="281" xfId="0" applyNumberFormat="1" applyFont="1" applyFill="1" applyBorder="1" applyAlignment="1" applyProtection="1">
      <alignment horizontal="right"/>
      <protection locked="0"/>
    </xf>
    <xf numFmtId="0" fontId="15" fillId="18" borderId="0" xfId="0" applyFont="1" applyFill="1" applyBorder="1" applyAlignment="1">
      <alignment horizontal="center" vertical="center"/>
    </xf>
    <xf numFmtId="0" fontId="43" fillId="18" borderId="280" xfId="0" applyFont="1" applyFill="1" applyBorder="1"/>
    <xf numFmtId="0" fontId="43" fillId="18" borderId="80" xfId="0" applyFont="1" applyFill="1" applyBorder="1"/>
    <xf numFmtId="0" fontId="37" fillId="0" borderId="254" xfId="0" applyFont="1" applyFill="1" applyBorder="1" applyAlignment="1">
      <alignment wrapText="1"/>
    </xf>
    <xf numFmtId="0" fontId="37" fillId="0" borderId="105" xfId="0" applyFont="1" applyFill="1" applyBorder="1" applyAlignment="1">
      <alignment wrapText="1"/>
    </xf>
    <xf numFmtId="1" fontId="32" fillId="0" borderId="103" xfId="0" applyNumberFormat="1" applyFont="1" applyFill="1" applyBorder="1" applyAlignment="1" applyProtection="1">
      <alignment horizontal="center" vertical="center" wrapText="1"/>
      <protection hidden="1"/>
    </xf>
    <xf numFmtId="0" fontId="43" fillId="0" borderId="103" xfId="0" applyFont="1" applyFill="1" applyBorder="1"/>
    <xf numFmtId="1" fontId="32" fillId="0" borderId="103" xfId="0" applyNumberFormat="1" applyFont="1" applyFill="1" applyBorder="1" applyAlignment="1" applyProtection="1">
      <alignment horizontal="center" vertical="center"/>
      <protection hidden="1"/>
    </xf>
    <xf numFmtId="1" fontId="32" fillId="0" borderId="50" xfId="0" applyNumberFormat="1" applyFont="1" applyFill="1" applyBorder="1" applyAlignment="1" applyProtection="1">
      <alignment horizontal="center" vertical="center" wrapText="1"/>
      <protection hidden="1"/>
    </xf>
    <xf numFmtId="177" fontId="36" fillId="25" borderId="107" xfId="0" applyNumberFormat="1" applyFont="1" applyFill="1" applyBorder="1" applyAlignment="1" applyProtection="1">
      <alignment horizontal="right" vertical="center"/>
      <protection locked="0"/>
    </xf>
    <xf numFmtId="0" fontId="43" fillId="18" borderId="0" xfId="0" applyFont="1" applyFill="1" applyBorder="1"/>
    <xf numFmtId="0" fontId="48" fillId="18" borderId="0" xfId="0" applyFont="1" applyFill="1"/>
    <xf numFmtId="174" fontId="36" fillId="18" borderId="0" xfId="0" applyNumberFormat="1" applyFont="1" applyFill="1" applyBorder="1" applyAlignment="1">
      <alignment horizontal="center" vertical="center"/>
    </xf>
    <xf numFmtId="0" fontId="16" fillId="18" borderId="0" xfId="0" applyFont="1" applyFill="1" applyBorder="1" applyAlignment="1">
      <alignment horizontal="center" vertical="center"/>
    </xf>
    <xf numFmtId="174" fontId="32" fillId="18" borderId="0" xfId="0" applyNumberFormat="1" applyFont="1" applyFill="1" applyBorder="1" applyAlignment="1">
      <alignment horizontal="center" vertical="center"/>
    </xf>
    <xf numFmtId="0" fontId="43" fillId="18" borderId="0" xfId="0" applyFont="1" applyFill="1" applyBorder="1" applyAlignment="1"/>
    <xf numFmtId="0" fontId="39" fillId="18" borderId="0" xfId="0" applyFont="1" applyFill="1" applyBorder="1"/>
    <xf numFmtId="0" fontId="43" fillId="18" borderId="0" xfId="0" applyFont="1" applyFill="1"/>
    <xf numFmtId="0" fontId="39" fillId="18" borderId="0" xfId="0" applyFont="1" applyFill="1" applyAlignment="1">
      <alignment horizontal="center" vertical="center" wrapText="1"/>
    </xf>
    <xf numFmtId="0" fontId="39" fillId="18" borderId="0" xfId="0" applyFont="1" applyFill="1"/>
    <xf numFmtId="0" fontId="66" fillId="18" borderId="0" xfId="0" applyFont="1" applyFill="1" applyBorder="1"/>
    <xf numFmtId="166" fontId="43" fillId="18" borderId="0" xfId="0" applyNumberFormat="1" applyFont="1" applyFill="1" applyBorder="1"/>
    <xf numFmtId="174" fontId="43" fillId="18" borderId="0" xfId="0" applyNumberFormat="1" applyFont="1" applyFill="1" applyBorder="1"/>
    <xf numFmtId="0" fontId="37" fillId="18" borderId="0" xfId="0" applyFont="1" applyFill="1" applyBorder="1" applyAlignment="1">
      <alignment horizontal="left"/>
    </xf>
    <xf numFmtId="174" fontId="37" fillId="18" borderId="0" xfId="0" applyNumberFormat="1" applyFont="1" applyFill="1" applyBorder="1" applyAlignment="1">
      <alignment horizontal="left"/>
    </xf>
    <xf numFmtId="0" fontId="37" fillId="18" borderId="0" xfId="0" applyFont="1" applyFill="1" applyBorder="1" applyAlignment="1">
      <alignment wrapText="1"/>
    </xf>
    <xf numFmtId="166" fontId="36" fillId="25" borderId="5" xfId="0" applyNumberFormat="1" applyFont="1" applyFill="1" applyBorder="1" applyAlignment="1">
      <alignment horizontal="center"/>
    </xf>
    <xf numFmtId="0" fontId="0" fillId="28" borderId="0" xfId="0" applyFill="1" applyAlignment="1">
      <alignment vertical="center"/>
    </xf>
    <xf numFmtId="0" fontId="0" fillId="28" borderId="0" xfId="0" applyFill="1"/>
    <xf numFmtId="0" fontId="223" fillId="0" borderId="0" xfId="0" applyFont="1" applyFill="1" applyBorder="1" applyAlignment="1">
      <alignment horizontal="center" vertical="center"/>
    </xf>
    <xf numFmtId="0" fontId="80" fillId="18" borderId="188" xfId="0" applyFont="1" applyFill="1" applyBorder="1" applyAlignment="1">
      <alignment vertical="center"/>
    </xf>
    <xf numFmtId="0" fontId="80" fillId="31" borderId="20" xfId="0" applyFont="1" applyFill="1" applyBorder="1" applyAlignment="1">
      <alignment vertical="center"/>
    </xf>
    <xf numFmtId="0" fontId="84" fillId="30" borderId="571" xfId="0" applyFont="1" applyFill="1" applyBorder="1" applyAlignment="1">
      <alignment vertical="center"/>
    </xf>
    <xf numFmtId="0" fontId="82" fillId="30" borderId="571" xfId="0" applyFont="1" applyFill="1" applyBorder="1" applyAlignment="1">
      <alignment vertical="center"/>
    </xf>
    <xf numFmtId="0" fontId="82" fillId="18" borderId="249" xfId="0" applyFont="1" applyFill="1" applyBorder="1" applyAlignment="1">
      <alignment vertical="center"/>
    </xf>
    <xf numFmtId="0" fontId="82" fillId="26" borderId="76" xfId="0" applyFont="1" applyFill="1" applyBorder="1" applyAlignment="1">
      <alignment vertical="center"/>
    </xf>
    <xf numFmtId="0" fontId="82" fillId="31" borderId="76" xfId="0" applyFont="1" applyFill="1" applyBorder="1" applyAlignment="1">
      <alignment vertical="center"/>
    </xf>
    <xf numFmtId="0" fontId="81" fillId="0" borderId="0" xfId="0" applyFont="1" applyFill="1" applyBorder="1" applyAlignment="1">
      <alignment horizontal="center" vertical="center"/>
    </xf>
    <xf numFmtId="0" fontId="223" fillId="21" borderId="572" xfId="0" applyFont="1" applyFill="1" applyBorder="1" applyAlignment="1">
      <alignment horizontal="center" vertical="center"/>
    </xf>
    <xf numFmtId="0" fontId="82" fillId="25" borderId="465" xfId="0" applyFont="1" applyFill="1" applyBorder="1" applyAlignment="1">
      <alignment vertical="center"/>
    </xf>
    <xf numFmtId="0" fontId="80" fillId="25" borderId="81" xfId="0" applyFont="1" applyFill="1" applyBorder="1" applyAlignment="1">
      <alignment vertical="center"/>
    </xf>
    <xf numFmtId="0" fontId="80" fillId="26" borderId="392" xfId="0" applyFont="1" applyFill="1" applyBorder="1" applyAlignment="1">
      <alignment vertical="center"/>
    </xf>
    <xf numFmtId="0" fontId="85" fillId="22" borderId="576" xfId="0" applyFont="1" applyFill="1" applyBorder="1" applyAlignment="1">
      <alignment horizontal="center" vertical="center" textRotation="89"/>
    </xf>
    <xf numFmtId="0" fontId="83" fillId="18" borderId="577" xfId="0" applyFont="1" applyFill="1" applyBorder="1"/>
    <xf numFmtId="0" fontId="81" fillId="18" borderId="0" xfId="0" applyFont="1" applyFill="1" applyBorder="1"/>
    <xf numFmtId="0" fontId="83" fillId="26" borderId="77" xfId="0" applyFont="1" applyFill="1" applyBorder="1"/>
    <xf numFmtId="0" fontId="81" fillId="26" borderId="21" xfId="0" applyFont="1" applyFill="1" applyBorder="1"/>
    <xf numFmtId="0" fontId="83" fillId="30" borderId="0" xfId="0" applyFont="1" applyFill="1" applyBorder="1"/>
    <xf numFmtId="0" fontId="81" fillId="30" borderId="0" xfId="0" applyFont="1" applyFill="1" applyBorder="1"/>
    <xf numFmtId="0" fontId="81" fillId="22" borderId="578" xfId="0" applyFont="1" applyFill="1" applyBorder="1" applyAlignment="1">
      <alignment horizontal="right" vertical="center"/>
    </xf>
    <xf numFmtId="0" fontId="83" fillId="25" borderId="463" xfId="0" applyFont="1" applyFill="1" applyBorder="1"/>
    <xf numFmtId="0" fontId="81" fillId="25" borderId="22" xfId="0" applyFont="1" applyFill="1" applyBorder="1"/>
    <xf numFmtId="0" fontId="83" fillId="31" borderId="77" xfId="0" applyFont="1" applyFill="1" applyBorder="1"/>
    <xf numFmtId="0" fontId="81" fillId="31" borderId="225" xfId="0" applyFont="1" applyFill="1" applyBorder="1"/>
    <xf numFmtId="184" fontId="82" fillId="22" borderId="575" xfId="5" applyNumberFormat="1" applyFont="1" applyFill="1" applyBorder="1" applyAlignment="1">
      <alignment horizontal="center" vertical="center"/>
    </xf>
    <xf numFmtId="184" fontId="308" fillId="22" borderId="580" xfId="5" applyNumberFormat="1" applyFont="1" applyFill="1" applyBorder="1" applyAlignment="1">
      <alignment horizontal="center" vertical="center"/>
    </xf>
    <xf numFmtId="0" fontId="310" fillId="21" borderId="572" xfId="0" applyFont="1" applyFill="1" applyBorder="1" applyAlignment="1">
      <alignment horizontal="center" vertical="center"/>
    </xf>
    <xf numFmtId="0" fontId="316" fillId="0" borderId="0" xfId="0" applyFont="1"/>
    <xf numFmtId="0" fontId="0" fillId="0" borderId="76" xfId="0" applyFont="1" applyBorder="1"/>
    <xf numFmtId="0" fontId="316" fillId="0" borderId="78" xfId="0" applyFont="1" applyBorder="1"/>
    <xf numFmtId="0" fontId="0" fillId="0" borderId="81" xfId="0" applyFont="1" applyBorder="1"/>
    <xf numFmtId="0" fontId="316" fillId="0" borderId="82" xfId="0" applyFont="1" applyBorder="1"/>
    <xf numFmtId="0" fontId="305" fillId="0" borderId="0" xfId="0" applyFont="1"/>
    <xf numFmtId="0" fontId="313" fillId="0" borderId="0" xfId="0" applyFont="1" applyAlignment="1">
      <alignment vertical="center"/>
    </xf>
    <xf numFmtId="0" fontId="318" fillId="0" borderId="0" xfId="0" applyFont="1" applyAlignment="1">
      <alignment vertical="center"/>
    </xf>
    <xf numFmtId="0" fontId="17" fillId="0" borderId="0" xfId="0" applyFont="1" applyBorder="1" applyAlignment="1">
      <alignment horizontal="center"/>
    </xf>
    <xf numFmtId="0" fontId="312" fillId="0" borderId="0" xfId="0" applyFont="1" applyAlignment="1">
      <alignment vertical="center"/>
    </xf>
    <xf numFmtId="0" fontId="84" fillId="21" borderId="579" xfId="0" applyFont="1" applyFill="1" applyBorder="1" applyAlignment="1">
      <alignment horizontal="center" vertical="center"/>
    </xf>
    <xf numFmtId="0" fontId="165" fillId="0" borderId="0" xfId="0" applyFont="1" applyFill="1" applyBorder="1"/>
    <xf numFmtId="166" fontId="165" fillId="0" borderId="0" xfId="0" applyNumberFormat="1" applyFont="1" applyFill="1" applyBorder="1"/>
    <xf numFmtId="166" fontId="165" fillId="0" borderId="315" xfId="0" applyNumberFormat="1" applyFont="1" applyFill="1" applyBorder="1"/>
    <xf numFmtId="0" fontId="165" fillId="0" borderId="315" xfId="0" applyFont="1" applyFill="1" applyBorder="1"/>
    <xf numFmtId="9" fontId="183" fillId="0" borderId="316" xfId="5" applyFont="1" applyFill="1" applyBorder="1" applyAlignment="1">
      <alignment horizontal="center"/>
    </xf>
    <xf numFmtId="9" fontId="183" fillId="0" borderId="317" xfId="5" applyFont="1" applyFill="1" applyBorder="1" applyAlignment="1">
      <alignment horizontal="center"/>
    </xf>
    <xf numFmtId="0" fontId="165" fillId="0" borderId="318" xfId="0" applyFont="1" applyFill="1" applyBorder="1"/>
    <xf numFmtId="0" fontId="165" fillId="0" borderId="319" xfId="0" applyFont="1" applyFill="1" applyBorder="1"/>
    <xf numFmtId="9" fontId="165" fillId="0" borderId="0" xfId="0" applyNumberFormat="1" applyFont="1" applyFill="1" applyBorder="1"/>
    <xf numFmtId="166" fontId="165" fillId="0" borderId="316" xfId="0" applyNumberFormat="1" applyFont="1" applyFill="1" applyBorder="1" applyAlignment="1">
      <alignment horizontal="center" vertical="center"/>
    </xf>
    <xf numFmtId="166" fontId="165" fillId="0" borderId="317" xfId="0" applyNumberFormat="1" applyFont="1" applyFill="1" applyBorder="1" applyAlignment="1">
      <alignment horizontal="center" vertical="center"/>
    </xf>
    <xf numFmtId="9" fontId="183" fillId="0" borderId="350" xfId="5" applyFont="1" applyFill="1" applyBorder="1" applyAlignment="1">
      <alignment horizontal="center" vertical="top"/>
    </xf>
    <xf numFmtId="0" fontId="166" fillId="26" borderId="323" xfId="0" applyFont="1" applyFill="1" applyBorder="1" applyAlignment="1">
      <alignment wrapText="1"/>
    </xf>
    <xf numFmtId="9" fontId="168" fillId="26" borderId="323" xfId="0" applyNumberFormat="1" applyFont="1" applyFill="1" applyBorder="1" applyAlignment="1">
      <alignment horizontal="center" vertical="center" wrapText="1"/>
    </xf>
    <xf numFmtId="166" fontId="167" fillId="26" borderId="324" xfId="0" applyNumberFormat="1" applyFont="1" applyFill="1" applyBorder="1" applyAlignment="1">
      <alignment horizontal="center" vertical="center" wrapText="1"/>
    </xf>
    <xf numFmtId="0" fontId="81" fillId="26" borderId="323" xfId="0" applyFont="1" applyFill="1" applyBorder="1" applyAlignment="1">
      <alignment wrapText="1"/>
    </xf>
    <xf numFmtId="182" fontId="84" fillId="26" borderId="324" xfId="0" applyNumberFormat="1" applyFont="1" applyFill="1" applyBorder="1" applyAlignment="1">
      <alignment horizontal="center" vertical="center" wrapText="1"/>
    </xf>
    <xf numFmtId="0" fontId="82" fillId="29" borderId="323" xfId="0" applyFont="1" applyFill="1" applyBorder="1" applyAlignment="1">
      <alignment wrapText="1"/>
    </xf>
    <xf numFmtId="182" fontId="84" fillId="29" borderId="324" xfId="0" applyNumberFormat="1" applyFont="1" applyFill="1" applyBorder="1" applyAlignment="1">
      <alignment horizontal="center" vertical="center" wrapText="1"/>
    </xf>
    <xf numFmtId="9" fontId="168" fillId="29" borderId="323" xfId="0" applyNumberFormat="1" applyFont="1" applyFill="1" applyBorder="1" applyAlignment="1">
      <alignment horizontal="center" vertical="center" wrapText="1"/>
    </xf>
    <xf numFmtId="184" fontId="183" fillId="29" borderId="348" xfId="5" applyNumberFormat="1" applyFont="1" applyFill="1" applyBorder="1" applyAlignment="1">
      <alignment horizontal="center" vertical="center"/>
    </xf>
    <xf numFmtId="184" fontId="183" fillId="29" borderId="349" xfId="5" applyNumberFormat="1" applyFont="1" applyFill="1" applyBorder="1" applyAlignment="1">
      <alignment horizontal="center" vertical="center"/>
    </xf>
    <xf numFmtId="182" fontId="82" fillId="0" borderId="326" xfId="0" applyNumberFormat="1" applyFont="1" applyFill="1" applyBorder="1" applyAlignment="1">
      <alignment horizontal="center" vertical="center"/>
    </xf>
    <xf numFmtId="182" fontId="82" fillId="0" borderId="284" xfId="0" applyNumberFormat="1" applyFont="1" applyFill="1" applyBorder="1" applyAlignment="1">
      <alignment horizontal="center" vertical="center"/>
    </xf>
    <xf numFmtId="0" fontId="81" fillId="34" borderId="583" xfId="0" applyFont="1" applyFill="1" applyBorder="1" applyAlignment="1">
      <alignment vertical="center"/>
    </xf>
    <xf numFmtId="0" fontId="81" fillId="34" borderId="585" xfId="0" applyFont="1" applyFill="1" applyBorder="1" applyAlignment="1">
      <alignment vertical="center"/>
    </xf>
    <xf numFmtId="0" fontId="320" fillId="0" borderId="2" xfId="2" quotePrefix="1" applyFont="1" applyBorder="1" applyAlignment="1" applyProtection="1">
      <alignment horizontal="left" vertical="center"/>
    </xf>
    <xf numFmtId="175" fontId="320" fillId="0" borderId="2" xfId="2" quotePrefix="1" applyNumberFormat="1" applyFont="1" applyBorder="1" applyAlignment="1" applyProtection="1">
      <alignment vertical="center"/>
    </xf>
    <xf numFmtId="175" fontId="320" fillId="0" borderId="6" xfId="2" quotePrefix="1" applyNumberFormat="1" applyFont="1" applyBorder="1" applyAlignment="1" applyProtection="1">
      <alignment vertical="center"/>
    </xf>
    <xf numFmtId="0" fontId="320" fillId="0" borderId="1" xfId="2" quotePrefix="1" applyFont="1" applyBorder="1" applyAlignment="1" applyProtection="1">
      <alignment horizontal="left" vertical="center"/>
    </xf>
    <xf numFmtId="175" fontId="320" fillId="0" borderId="47" xfId="2" quotePrefix="1" applyNumberFormat="1" applyFont="1" applyBorder="1" applyAlignment="1" applyProtection="1">
      <alignment vertical="center"/>
    </xf>
    <xf numFmtId="175" fontId="320" fillId="0" borderId="48" xfId="2" quotePrefix="1" applyNumberFormat="1" applyFont="1" applyBorder="1" applyAlignment="1" applyProtection="1">
      <alignment vertical="center"/>
    </xf>
    <xf numFmtId="0" fontId="322" fillId="0" borderId="589" xfId="2" quotePrefix="1" applyFont="1" applyBorder="1" applyAlignment="1" applyProtection="1">
      <alignment horizontal="left" vertical="center"/>
    </xf>
    <xf numFmtId="175" fontId="322" fillId="0" borderId="590" xfId="2" quotePrefix="1" applyNumberFormat="1" applyFont="1" applyBorder="1" applyAlignment="1" applyProtection="1">
      <alignment vertical="center"/>
    </xf>
    <xf numFmtId="175" fontId="322" fillId="0" borderId="589" xfId="2" quotePrefix="1" applyNumberFormat="1" applyFont="1" applyBorder="1" applyAlignment="1" applyProtection="1">
      <alignment vertical="center"/>
    </xf>
    <xf numFmtId="0" fontId="82" fillId="24" borderId="249" xfId="0" applyFont="1" applyFill="1" applyBorder="1" applyAlignment="1">
      <alignment vertical="center"/>
    </xf>
    <xf numFmtId="0" fontId="83" fillId="24" borderId="584" xfId="0" applyFont="1" applyFill="1" applyBorder="1"/>
    <xf numFmtId="177" fontId="82" fillId="24" borderId="591" xfId="0" applyNumberFormat="1" applyFont="1" applyFill="1" applyBorder="1" applyAlignment="1">
      <alignment horizontal="center" vertical="center"/>
    </xf>
    <xf numFmtId="9" fontId="82" fillId="24" borderId="592" xfId="0" applyNumberFormat="1" applyFont="1" applyFill="1" applyBorder="1" applyAlignment="1">
      <alignment horizontal="center" vertical="center"/>
    </xf>
    <xf numFmtId="9" fontId="168" fillId="12" borderId="321" xfId="0" applyNumberFormat="1" applyFont="1" applyFill="1" applyBorder="1" applyAlignment="1">
      <alignment horizontal="center" vertical="center" wrapText="1"/>
    </xf>
    <xf numFmtId="9" fontId="168" fillId="12" borderId="286" xfId="0" applyNumberFormat="1" applyFont="1" applyFill="1" applyBorder="1" applyAlignment="1">
      <alignment horizontal="center" vertical="center" wrapText="1"/>
    </xf>
    <xf numFmtId="0" fontId="87" fillId="0" borderId="320" xfId="0" applyFont="1" applyBorder="1" applyAlignment="1">
      <alignment horizontal="center" vertical="top" wrapText="1"/>
    </xf>
    <xf numFmtId="0" fontId="82" fillId="12" borderId="321" xfId="0" applyFont="1" applyFill="1" applyBorder="1" applyAlignment="1">
      <alignment wrapText="1"/>
    </xf>
    <xf numFmtId="0" fontId="8" fillId="0" borderId="0" xfId="0" applyFont="1" applyFill="1" applyProtection="1">
      <protection hidden="1"/>
    </xf>
    <xf numFmtId="0" fontId="37" fillId="0" borderId="593" xfId="0" applyFont="1" applyBorder="1"/>
    <xf numFmtId="0" fontId="37" fillId="0" borderId="571" xfId="0" applyFont="1" applyBorder="1"/>
    <xf numFmtId="0" fontId="37" fillId="0" borderId="594" xfId="0" applyFont="1" applyBorder="1"/>
    <xf numFmtId="0" fontId="37" fillId="0" borderId="585" xfId="0" applyFont="1" applyBorder="1"/>
    <xf numFmtId="0" fontId="37" fillId="0" borderId="595" xfId="0" applyFont="1" applyBorder="1" applyAlignment="1">
      <alignment wrapText="1"/>
    </xf>
    <xf numFmtId="0" fontId="37" fillId="0" borderId="596" xfId="0" applyFont="1" applyBorder="1" applyAlignment="1">
      <alignment wrapText="1"/>
    </xf>
    <xf numFmtId="0" fontId="37" fillId="0" borderId="583" xfId="0" applyFont="1" applyBorder="1"/>
    <xf numFmtId="0" fontId="8" fillId="0" borderId="571" xfId="0" applyFont="1" applyBorder="1" applyAlignment="1" applyProtection="1">
      <alignment vertical="center"/>
      <protection hidden="1"/>
    </xf>
    <xf numFmtId="0" fontId="0" fillId="0" borderId="571" xfId="0" applyBorder="1"/>
    <xf numFmtId="0" fontId="37" fillId="0" borderId="597" xfId="0" applyFont="1" applyBorder="1"/>
    <xf numFmtId="0" fontId="37" fillId="0" borderId="599" xfId="0" applyFont="1" applyBorder="1"/>
    <xf numFmtId="0" fontId="37" fillId="0" borderId="600" xfId="0" applyFont="1" applyBorder="1"/>
    <xf numFmtId="0" fontId="37" fillId="0" borderId="601" xfId="0" applyFont="1" applyBorder="1"/>
    <xf numFmtId="0" fontId="37" fillId="0" borderId="602" xfId="0" applyFont="1" applyBorder="1"/>
    <xf numFmtId="0" fontId="37" fillId="0" borderId="603" xfId="0" applyFont="1" applyBorder="1"/>
    <xf numFmtId="0" fontId="37" fillId="0" borderId="604" xfId="0" applyFont="1" applyBorder="1"/>
    <xf numFmtId="0" fontId="37" fillId="0" borderId="584" xfId="0" applyFont="1" applyFill="1" applyBorder="1"/>
    <xf numFmtId="0" fontId="143" fillId="0" borderId="70" xfId="0" applyFont="1" applyFill="1" applyBorder="1" applyAlignment="1">
      <alignment horizontal="center" vertical="center" wrapText="1"/>
    </xf>
    <xf numFmtId="0" fontId="144" fillId="0" borderId="70" xfId="0" applyFont="1" applyFill="1" applyBorder="1" applyAlignment="1">
      <alignment horizontal="center" vertical="center"/>
    </xf>
    <xf numFmtId="10" fontId="145" fillId="0" borderId="70" xfId="5" applyNumberFormat="1" applyFont="1" applyFill="1" applyBorder="1" applyAlignment="1">
      <alignment horizontal="center" vertical="center" wrapText="1"/>
    </xf>
    <xf numFmtId="0" fontId="146" fillId="0" borderId="70" xfId="0" applyFont="1" applyFill="1" applyBorder="1" applyAlignment="1">
      <alignment vertical="center" wrapText="1"/>
    </xf>
    <xf numFmtId="0" fontId="146" fillId="0" borderId="70" xfId="0" applyFont="1" applyFill="1" applyBorder="1"/>
    <xf numFmtId="166" fontId="147" fillId="0" borderId="70" xfId="0" applyNumberFormat="1" applyFont="1" applyFill="1" applyBorder="1" applyAlignment="1">
      <alignment horizontal="center" vertical="center"/>
    </xf>
    <xf numFmtId="182" fontId="145" fillId="0" borderId="70" xfId="5" applyNumberFormat="1" applyFont="1" applyFill="1" applyBorder="1" applyAlignment="1">
      <alignment horizontal="center" vertical="center"/>
    </xf>
    <xf numFmtId="0" fontId="146" fillId="0" borderId="585" xfId="0" applyFont="1" applyBorder="1"/>
    <xf numFmtId="0" fontId="146" fillId="0" borderId="585" xfId="0" applyFont="1" applyFill="1" applyBorder="1" applyAlignment="1">
      <alignment vertical="center" wrapText="1"/>
    </xf>
    <xf numFmtId="0" fontId="146" fillId="0" borderId="585" xfId="0" applyFont="1" applyFill="1" applyBorder="1"/>
    <xf numFmtId="0" fontId="146" fillId="0" borderId="586" xfId="0" applyFont="1" applyFill="1" applyBorder="1" applyAlignment="1">
      <alignment vertical="center" wrapText="1"/>
    </xf>
    <xf numFmtId="175" fontId="322" fillId="0" borderId="606" xfId="2" quotePrefix="1" applyNumberFormat="1" applyFont="1" applyBorder="1" applyAlignment="1" applyProtection="1">
      <alignment vertical="center"/>
    </xf>
    <xf numFmtId="175" fontId="322" fillId="0" borderId="605" xfId="2" quotePrefix="1" applyNumberFormat="1" applyFont="1" applyBorder="1" applyAlignment="1" applyProtection="1">
      <alignment vertical="center"/>
    </xf>
    <xf numFmtId="175" fontId="323" fillId="0" borderId="607" xfId="2" quotePrefix="1" applyNumberFormat="1" applyFont="1" applyBorder="1" applyAlignment="1" applyProtection="1">
      <alignment vertical="center"/>
    </xf>
    <xf numFmtId="0" fontId="32" fillId="20" borderId="7" xfId="0" applyFont="1" applyFill="1" applyBorder="1" applyAlignment="1" applyProtection="1">
      <alignment horizontal="center" vertical="center"/>
    </xf>
    <xf numFmtId="8" fontId="32" fillId="20" borderId="8" xfId="0" applyNumberFormat="1" applyFont="1" applyFill="1" applyBorder="1" applyAlignment="1" applyProtection="1">
      <alignment horizontal="center" vertical="center"/>
    </xf>
    <xf numFmtId="9" fontId="32" fillId="20" borderId="17" xfId="0" applyNumberFormat="1" applyFont="1" applyFill="1" applyBorder="1" applyAlignment="1" applyProtection="1">
      <alignment horizontal="center" vertical="center" wrapText="1"/>
    </xf>
    <xf numFmtId="0" fontId="32" fillId="20" borderId="10" xfId="0" applyFont="1" applyFill="1" applyBorder="1" applyAlignment="1" applyProtection="1">
      <alignment horizontal="center" vertical="center" wrapText="1"/>
    </xf>
    <xf numFmtId="8" fontId="32" fillId="20" borderId="24" xfId="0" applyNumberFormat="1" applyFont="1" applyFill="1" applyBorder="1" applyAlignment="1" applyProtection="1">
      <alignment horizontal="center" vertical="center" wrapText="1"/>
    </xf>
    <xf numFmtId="3" fontId="35" fillId="20" borderId="7" xfId="0" applyNumberFormat="1" applyFont="1" applyFill="1" applyBorder="1" applyAlignment="1" applyProtection="1">
      <alignment horizontal="center" vertical="center" wrapText="1"/>
      <protection hidden="1"/>
    </xf>
    <xf numFmtId="3" fontId="35" fillId="20" borderId="8" xfId="0" applyNumberFormat="1" applyFont="1" applyFill="1" applyBorder="1" applyAlignment="1" applyProtection="1">
      <alignment horizontal="center" vertical="center" wrapText="1"/>
      <protection hidden="1"/>
    </xf>
    <xf numFmtId="3" fontId="35" fillId="20" borderId="9" xfId="0" applyNumberFormat="1" applyFont="1" applyFill="1" applyBorder="1" applyAlignment="1" applyProtection="1">
      <alignment horizontal="center" vertical="center" wrapText="1"/>
      <protection hidden="1"/>
    </xf>
    <xf numFmtId="3" fontId="35" fillId="20" borderId="117" xfId="0" applyNumberFormat="1" applyFont="1" applyFill="1" applyBorder="1" applyAlignment="1" applyProtection="1">
      <alignment horizontal="center" vertical="center" wrapText="1"/>
      <protection hidden="1"/>
    </xf>
    <xf numFmtId="3" fontId="35" fillId="20" borderId="16" xfId="0" applyNumberFormat="1" applyFont="1" applyFill="1" applyBorder="1" applyAlignment="1" applyProtection="1">
      <alignment horizontal="center" vertical="center" wrapText="1"/>
      <protection hidden="1"/>
    </xf>
    <xf numFmtId="3" fontId="35" fillId="20" borderId="18" xfId="0" applyNumberFormat="1" applyFont="1" applyFill="1" applyBorder="1" applyAlignment="1" applyProtection="1">
      <alignment horizontal="center" vertical="center" wrapText="1"/>
      <protection hidden="1"/>
    </xf>
    <xf numFmtId="3" fontId="35" fillId="20" borderId="17" xfId="0" applyNumberFormat="1" applyFont="1" applyFill="1" applyBorder="1" applyAlignment="1" applyProtection="1">
      <alignment horizontal="center" vertical="center" wrapText="1"/>
      <protection hidden="1"/>
    </xf>
    <xf numFmtId="3" fontId="37" fillId="20" borderId="7" xfId="0" applyNumberFormat="1" applyFont="1" applyFill="1" applyBorder="1" applyAlignment="1" applyProtection="1">
      <alignment horizontal="center" wrapText="1"/>
      <protection hidden="1"/>
    </xf>
    <xf numFmtId="3" fontId="37" fillId="20" borderId="17" xfId="0" applyNumberFormat="1" applyFont="1" applyFill="1" applyBorder="1" applyAlignment="1" applyProtection="1">
      <alignment horizontal="center" wrapText="1"/>
      <protection hidden="1"/>
    </xf>
    <xf numFmtId="3" fontId="121" fillId="20" borderId="8" xfId="0" applyNumberFormat="1" applyFont="1" applyFill="1" applyBorder="1" applyAlignment="1" applyProtection="1">
      <alignment horizontal="center" vertical="center" wrapText="1"/>
      <protection hidden="1"/>
    </xf>
    <xf numFmtId="3" fontId="121" fillId="20" borderId="9" xfId="0" applyNumberFormat="1" applyFont="1" applyFill="1" applyBorder="1" applyAlignment="1" applyProtection="1">
      <alignment horizontal="center" vertical="center" wrapText="1"/>
      <protection hidden="1"/>
    </xf>
    <xf numFmtId="3" fontId="35" fillId="20" borderId="148" xfId="0" applyNumberFormat="1" applyFont="1" applyFill="1" applyBorder="1" applyAlignment="1" applyProtection="1">
      <alignment horizontal="center" vertical="center" wrapText="1"/>
      <protection hidden="1"/>
    </xf>
    <xf numFmtId="3" fontId="35" fillId="20" borderId="116" xfId="0" applyNumberFormat="1" applyFont="1" applyFill="1" applyBorder="1" applyAlignment="1" applyProtection="1">
      <alignment horizontal="center" vertical="center" wrapText="1"/>
      <protection hidden="1"/>
    </xf>
    <xf numFmtId="3" fontId="35" fillId="20" borderId="25" xfId="0" applyNumberFormat="1" applyFont="1" applyFill="1" applyBorder="1" applyAlignment="1" applyProtection="1">
      <alignment horizontal="center" vertical="center" wrapText="1"/>
      <protection hidden="1"/>
    </xf>
    <xf numFmtId="3" fontId="37" fillId="20" borderId="9" xfId="0" applyNumberFormat="1" applyFont="1" applyFill="1" applyBorder="1" applyAlignment="1" applyProtection="1">
      <alignment horizontal="center" wrapText="1"/>
      <protection hidden="1"/>
    </xf>
    <xf numFmtId="3" fontId="15" fillId="18" borderId="3" xfId="0" applyNumberFormat="1" applyFont="1" applyFill="1" applyBorder="1" applyAlignment="1" applyProtection="1">
      <alignment vertical="center" wrapText="1"/>
      <protection hidden="1"/>
    </xf>
    <xf numFmtId="3" fontId="15" fillId="18" borderId="5" xfId="0" applyNumberFormat="1" applyFont="1" applyFill="1" applyBorder="1" applyAlignment="1" applyProtection="1">
      <alignment horizontal="center" vertical="center" wrapText="1"/>
      <protection hidden="1"/>
    </xf>
    <xf numFmtId="1" fontId="15" fillId="18" borderId="5" xfId="0" applyNumberFormat="1" applyFont="1" applyFill="1" applyBorder="1" applyAlignment="1" applyProtection="1">
      <alignment horizontal="center" vertical="center" wrapText="1"/>
      <protection hidden="1"/>
    </xf>
    <xf numFmtId="1" fontId="73" fillId="18" borderId="304" xfId="0" applyNumberFormat="1" applyFont="1" applyFill="1" applyBorder="1" applyAlignment="1" applyProtection="1">
      <alignment horizontal="centerContinuous" vertical="center" wrapText="1"/>
      <protection hidden="1"/>
    </xf>
    <xf numFmtId="1" fontId="73" fillId="18" borderId="170" xfId="0" applyNumberFormat="1" applyFont="1" applyFill="1" applyBorder="1" applyAlignment="1" applyProtection="1">
      <alignment horizontal="centerContinuous" vertical="center" wrapText="1"/>
      <protection hidden="1"/>
    </xf>
    <xf numFmtId="1" fontId="73" fillId="18" borderId="5" xfId="0" applyNumberFormat="1" applyFont="1" applyFill="1" applyBorder="1" applyAlignment="1" applyProtection="1">
      <alignment horizontal="centerContinuous" vertical="center" wrapText="1"/>
      <protection hidden="1"/>
    </xf>
    <xf numFmtId="3" fontId="15" fillId="18" borderId="5" xfId="0" applyNumberFormat="1" applyFont="1" applyFill="1" applyBorder="1" applyAlignment="1" applyProtection="1">
      <alignment vertical="center" wrapText="1"/>
      <protection hidden="1"/>
    </xf>
    <xf numFmtId="0" fontId="15" fillId="18" borderId="5" xfId="0" applyFont="1" applyFill="1" applyBorder="1" applyAlignment="1" applyProtection="1">
      <alignment vertical="center" wrapText="1"/>
      <protection hidden="1"/>
    </xf>
    <xf numFmtId="10" fontId="16" fillId="19" borderId="283" xfId="0" applyNumberFormat="1" applyFont="1" applyFill="1" applyBorder="1" applyAlignment="1" applyProtection="1">
      <alignment horizontal="center" vertical="center"/>
      <protection locked="0"/>
    </xf>
    <xf numFmtId="0" fontId="32" fillId="0" borderId="0" xfId="0" applyNumberFormat="1" applyFont="1" applyFill="1" applyBorder="1" applyAlignment="1" applyProtection="1">
      <alignment vertical="center"/>
    </xf>
    <xf numFmtId="0" fontId="262" fillId="0" borderId="0" xfId="0" applyFont="1"/>
    <xf numFmtId="174" fontId="262" fillId="0" borderId="0" xfId="0" applyNumberFormat="1" applyFont="1"/>
    <xf numFmtId="9" fontId="262" fillId="0" borderId="0" xfId="5" applyFont="1"/>
    <xf numFmtId="0" fontId="0" fillId="0" borderId="0" xfId="0" applyAlignment="1">
      <alignment wrapText="1"/>
    </xf>
    <xf numFmtId="0" fontId="180" fillId="0" borderId="0" xfId="0" applyFont="1" applyFill="1" applyBorder="1" applyAlignment="1" applyProtection="1">
      <alignment vertical="justify" wrapText="1"/>
    </xf>
    <xf numFmtId="0" fontId="0" fillId="0" borderId="0" xfId="0" applyAlignment="1"/>
    <xf numFmtId="0" fontId="56" fillId="24" borderId="0" xfId="0" applyFont="1" applyFill="1" applyBorder="1" applyProtection="1"/>
    <xf numFmtId="3" fontId="173" fillId="31" borderId="11" xfId="0" applyNumberFormat="1" applyFont="1" applyFill="1" applyBorder="1" applyAlignment="1" applyProtection="1">
      <alignment horizontal="left" vertical="center" indent="3"/>
    </xf>
    <xf numFmtId="168" fontId="162" fillId="31" borderId="26" xfId="0" applyNumberFormat="1" applyFont="1" applyFill="1" applyBorder="1" applyAlignment="1" applyProtection="1">
      <alignment horizontal="right" vertical="center"/>
      <protection locked="0"/>
    </xf>
    <xf numFmtId="0" fontId="80" fillId="24" borderId="608" xfId="0" applyFont="1" applyFill="1" applyBorder="1" applyAlignment="1">
      <alignment vertical="center"/>
    </xf>
    <xf numFmtId="0" fontId="81" fillId="24" borderId="609" xfId="0" applyFont="1" applyFill="1" applyBorder="1"/>
    <xf numFmtId="0" fontId="120" fillId="0" borderId="71" xfId="0" quotePrefix="1" applyFont="1" applyFill="1" applyBorder="1" applyAlignment="1">
      <alignment horizontal="center" vertical="center"/>
    </xf>
    <xf numFmtId="0" fontId="328" fillId="0" borderId="0" xfId="0" applyFont="1" applyAlignment="1">
      <alignment horizontal="center" vertical="center"/>
    </xf>
    <xf numFmtId="0" fontId="120" fillId="0" borderId="0" xfId="0" applyFont="1" applyAlignment="1">
      <alignment horizontal="center" vertical="center"/>
    </xf>
    <xf numFmtId="0" fontId="81" fillId="0" borderId="0" xfId="0" applyFont="1" applyFill="1" applyBorder="1" applyAlignment="1"/>
    <xf numFmtId="177" fontId="105" fillId="19" borderId="0" xfId="0" applyNumberFormat="1" applyFont="1" applyFill="1" applyBorder="1" applyAlignment="1" applyProtection="1">
      <alignment horizontal="center"/>
      <protection locked="0"/>
    </xf>
    <xf numFmtId="166" fontId="109" fillId="19" borderId="0" xfId="0" applyNumberFormat="1" applyFont="1" applyFill="1" applyBorder="1" applyAlignment="1" applyProtection="1">
      <alignment horizontal="center"/>
      <protection locked="0"/>
    </xf>
    <xf numFmtId="177" fontId="106" fillId="19" borderId="0" xfId="0" applyNumberFormat="1" applyFont="1" applyFill="1" applyBorder="1" applyAlignment="1" applyProtection="1">
      <alignment horizontal="center"/>
      <protection locked="0"/>
    </xf>
    <xf numFmtId="166" fontId="113" fillId="19" borderId="0" xfId="0" applyNumberFormat="1" applyFont="1" applyFill="1" applyBorder="1" applyAlignment="1" applyProtection="1">
      <alignment horizontal="center"/>
      <protection locked="0"/>
    </xf>
    <xf numFmtId="177" fontId="329" fillId="5" borderId="0" xfId="0" applyNumberFormat="1" applyFont="1" applyFill="1" applyBorder="1" applyAlignment="1">
      <alignment horizontal="center"/>
    </xf>
    <xf numFmtId="0" fontId="7" fillId="0" borderId="0" xfId="0" applyFont="1" applyBorder="1"/>
    <xf numFmtId="0" fontId="7" fillId="0" borderId="61" xfId="0" applyFont="1" applyBorder="1"/>
    <xf numFmtId="0" fontId="7" fillId="0" borderId="66" xfId="0" applyFont="1" applyBorder="1"/>
    <xf numFmtId="0" fontId="0" fillId="27" borderId="414" xfId="0" applyFill="1" applyBorder="1" applyAlignment="1">
      <alignment horizontal="center" vertical="center"/>
    </xf>
    <xf numFmtId="0" fontId="17" fillId="27" borderId="0" xfId="0" applyFont="1" applyFill="1" applyBorder="1" applyAlignment="1">
      <alignment horizontal="center" vertical="center"/>
    </xf>
    <xf numFmtId="0" fontId="17" fillId="27" borderId="0" xfId="0" applyFont="1" applyFill="1" applyBorder="1" applyAlignment="1">
      <alignment horizontal="center" vertical="center" wrapText="1"/>
    </xf>
    <xf numFmtId="0" fontId="17" fillId="27" borderId="315" xfId="0" applyFont="1" applyFill="1" applyBorder="1" applyAlignment="1">
      <alignment horizontal="center" vertical="center" wrapText="1"/>
    </xf>
    <xf numFmtId="0" fontId="39" fillId="27" borderId="414" xfId="0" applyFont="1" applyFill="1" applyBorder="1" applyAlignment="1" applyProtection="1"/>
    <xf numFmtId="0" fontId="39" fillId="27" borderId="0" xfId="0" applyFont="1" applyFill="1" applyBorder="1" applyAlignment="1" applyProtection="1"/>
    <xf numFmtId="9" fontId="37" fillId="27" borderId="0" xfId="5" applyNumberFormat="1" applyFont="1" applyFill="1" applyBorder="1" applyAlignment="1" applyProtection="1">
      <alignment horizontal="right" vertical="center"/>
      <protection locked="0"/>
    </xf>
    <xf numFmtId="9" fontId="37" fillId="27" borderId="315" xfId="5" applyNumberFormat="1" applyFont="1" applyFill="1" applyBorder="1" applyAlignment="1" applyProtection="1">
      <alignment horizontal="right" vertical="center"/>
      <protection locked="0"/>
    </xf>
    <xf numFmtId="9" fontId="37" fillId="27" borderId="0" xfId="0" applyNumberFormat="1" applyFont="1" applyFill="1" applyBorder="1" applyAlignment="1" applyProtection="1">
      <alignment horizontal="right" vertical="center"/>
      <protection locked="0"/>
    </xf>
    <xf numFmtId="9" fontId="37" fillId="27" borderId="315" xfId="0" applyNumberFormat="1" applyFont="1" applyFill="1" applyBorder="1" applyAlignment="1" applyProtection="1">
      <alignment horizontal="right" vertical="center"/>
      <protection locked="0"/>
    </xf>
    <xf numFmtId="0" fontId="39" fillId="27" borderId="414" xfId="0" applyFont="1" applyFill="1" applyBorder="1" applyProtection="1"/>
    <xf numFmtId="0" fontId="39" fillId="27" borderId="0" xfId="0" applyFont="1" applyFill="1" applyBorder="1" applyProtection="1"/>
    <xf numFmtId="0" fontId="39" fillId="27" borderId="614" xfId="0" applyFont="1" applyFill="1" applyBorder="1" applyProtection="1"/>
    <xf numFmtId="0" fontId="39" fillId="27" borderId="21" xfId="0" applyFont="1" applyFill="1" applyBorder="1" applyProtection="1"/>
    <xf numFmtId="9" fontId="37" fillId="27" borderId="21" xfId="0" applyNumberFormat="1" applyFont="1" applyFill="1" applyBorder="1" applyAlignment="1" applyProtection="1">
      <alignment horizontal="right" vertical="center"/>
      <protection locked="0"/>
    </xf>
    <xf numFmtId="9" fontId="37" fillId="27" borderId="615" xfId="0" applyNumberFormat="1" applyFont="1" applyFill="1" applyBorder="1" applyAlignment="1" applyProtection="1">
      <alignment horizontal="right" vertical="center"/>
      <protection locked="0"/>
    </xf>
    <xf numFmtId="0" fontId="0" fillId="27" borderId="418" xfId="0" applyFill="1" applyBorder="1" applyAlignment="1">
      <alignment horizontal="center" vertical="center"/>
    </xf>
    <xf numFmtId="0" fontId="17" fillId="27" borderId="616" xfId="0" applyFont="1" applyFill="1" applyBorder="1" applyAlignment="1">
      <alignment horizontal="center" vertical="center" wrapText="1"/>
    </xf>
    <xf numFmtId="0" fontId="17" fillId="27" borderId="583" xfId="0" applyFont="1" applyFill="1" applyBorder="1" applyAlignment="1">
      <alignment horizontal="center" vertical="center"/>
    </xf>
    <xf numFmtId="0" fontId="17" fillId="27" borderId="583" xfId="0" applyFont="1" applyFill="1" applyBorder="1" applyAlignment="1">
      <alignment horizontal="center" vertical="center" wrapText="1"/>
    </xf>
    <xf numFmtId="0" fontId="39" fillId="27" borderId="617" xfId="0" applyFont="1" applyFill="1" applyBorder="1" applyProtection="1"/>
    <xf numFmtId="0" fontId="43" fillId="27" borderId="414" xfId="0" applyFont="1" applyFill="1" applyBorder="1" applyAlignment="1" applyProtection="1"/>
    <xf numFmtId="174" fontId="32" fillId="27" borderId="414" xfId="0" applyNumberFormat="1" applyFont="1" applyFill="1" applyBorder="1" applyAlignment="1" applyProtection="1">
      <alignment vertical="center"/>
    </xf>
    <xf numFmtId="8" fontId="32" fillId="27" borderId="414" xfId="5" applyNumberFormat="1" applyFont="1" applyFill="1" applyBorder="1" applyAlignment="1" applyProtection="1">
      <alignment horizontal="center" vertical="center"/>
    </xf>
    <xf numFmtId="9" fontId="37" fillId="27" borderId="618" xfId="5" applyNumberFormat="1" applyFont="1" applyFill="1" applyBorder="1" applyAlignment="1" applyProtection="1">
      <alignment horizontal="right" vertical="center"/>
      <protection locked="0"/>
    </xf>
    <xf numFmtId="174" fontId="32" fillId="27" borderId="315" xfId="0" applyNumberFormat="1" applyFont="1" applyFill="1" applyBorder="1" applyAlignment="1" applyProtection="1">
      <alignment vertical="center"/>
    </xf>
    <xf numFmtId="8" fontId="76" fillId="27" borderId="315" xfId="5" applyNumberFormat="1" applyFont="1" applyFill="1" applyBorder="1" applyAlignment="1" applyProtection="1">
      <alignment horizontal="center" vertical="center"/>
    </xf>
    <xf numFmtId="8" fontId="76" fillId="27" borderId="315" xfId="5" applyNumberFormat="1" applyFont="1" applyFill="1" applyBorder="1" applyAlignment="1" applyProtection="1">
      <alignment horizontal="center" vertical="center" wrapText="1"/>
    </xf>
    <xf numFmtId="0" fontId="39" fillId="27" borderId="463" xfId="0" applyFont="1" applyFill="1" applyBorder="1" applyProtection="1"/>
    <xf numFmtId="9" fontId="37" fillId="27" borderId="463" xfId="5" applyNumberFormat="1" applyFont="1" applyFill="1" applyBorder="1" applyAlignment="1" applyProtection="1">
      <alignment horizontal="right" vertical="center"/>
      <protection locked="0"/>
    </xf>
    <xf numFmtId="174" fontId="32" fillId="27" borderId="0" xfId="0" applyNumberFormat="1" applyFont="1" applyFill="1" applyBorder="1" applyAlignment="1" applyProtection="1">
      <alignment vertical="center"/>
    </xf>
    <xf numFmtId="8" fontId="76" fillId="27" borderId="0" xfId="5" applyNumberFormat="1" applyFont="1" applyFill="1" applyBorder="1" applyAlignment="1" applyProtection="1">
      <alignment horizontal="center" vertical="center"/>
    </xf>
    <xf numFmtId="8" fontId="76" fillId="27" borderId="0" xfId="5" applyNumberFormat="1" applyFont="1" applyFill="1" applyBorder="1" applyAlignment="1" applyProtection="1">
      <alignment horizontal="center" vertical="center" wrapText="1"/>
    </xf>
    <xf numFmtId="0" fontId="39" fillId="27" borderId="21" xfId="0" applyFont="1" applyFill="1" applyBorder="1" applyAlignment="1" applyProtection="1"/>
    <xf numFmtId="9" fontId="37" fillId="27" borderId="21" xfId="5" applyNumberFormat="1" applyFont="1" applyFill="1" applyBorder="1" applyAlignment="1" applyProtection="1">
      <alignment horizontal="right" vertical="center"/>
      <protection locked="0"/>
    </xf>
    <xf numFmtId="166" fontId="330" fillId="0" borderId="157" xfId="5" applyNumberFormat="1" applyFont="1" applyFill="1" applyBorder="1" applyAlignment="1" applyProtection="1">
      <alignment horizontal="center" vertical="center"/>
    </xf>
    <xf numFmtId="186" fontId="330" fillId="0" borderId="433" xfId="0" applyNumberFormat="1" applyFont="1" applyFill="1" applyBorder="1" applyAlignment="1" applyProtection="1">
      <alignment horizontal="center" vertical="center"/>
    </xf>
    <xf numFmtId="172" fontId="330" fillId="0" borderId="433" xfId="0" applyNumberFormat="1" applyFont="1" applyFill="1" applyBorder="1" applyAlignment="1" applyProtection="1">
      <alignment horizontal="center" vertical="center"/>
    </xf>
    <xf numFmtId="186" fontId="330" fillId="0" borderId="151" xfId="0" applyNumberFormat="1" applyFont="1" applyFill="1" applyBorder="1" applyAlignment="1" applyProtection="1">
      <alignment horizontal="center" vertical="center"/>
    </xf>
    <xf numFmtId="0" fontId="17" fillId="0" borderId="414" xfId="0" applyFont="1" applyFill="1" applyBorder="1" applyAlignment="1">
      <alignment horizontal="center" vertical="center" wrapText="1"/>
    </xf>
    <xf numFmtId="0" fontId="17" fillId="0" borderId="315" xfId="0" applyFont="1" applyFill="1" applyBorder="1" applyAlignment="1">
      <alignment horizontal="center" vertical="center" wrapText="1"/>
    </xf>
    <xf numFmtId="0" fontId="39" fillId="0" borderId="414" xfId="0" applyFont="1" applyFill="1" applyBorder="1" applyProtection="1"/>
    <xf numFmtId="0" fontId="39" fillId="0" borderId="315" xfId="0" applyFont="1" applyFill="1" applyBorder="1" applyProtection="1"/>
    <xf numFmtId="0" fontId="39" fillId="0" borderId="614" xfId="0" applyFont="1" applyFill="1" applyBorder="1" applyProtection="1"/>
    <xf numFmtId="0" fontId="39" fillId="0" borderId="615" xfId="0" applyFont="1" applyFill="1" applyBorder="1" applyProtection="1"/>
    <xf numFmtId="0" fontId="39" fillId="0" borderId="617" xfId="0" applyFont="1" applyFill="1" applyBorder="1" applyProtection="1"/>
    <xf numFmtId="0" fontId="39" fillId="0" borderId="463" xfId="0" applyFont="1" applyFill="1" applyBorder="1" applyProtection="1"/>
    <xf numFmtId="0" fontId="39" fillId="0" borderId="618" xfId="0" applyFont="1" applyFill="1" applyBorder="1" applyProtection="1"/>
    <xf numFmtId="174" fontId="32" fillId="0" borderId="414" xfId="0" applyNumberFormat="1" applyFont="1" applyFill="1" applyBorder="1" applyAlignment="1" applyProtection="1">
      <alignment vertical="center"/>
    </xf>
    <xf numFmtId="174" fontId="32" fillId="0" borderId="315" xfId="0" applyNumberFormat="1" applyFont="1" applyFill="1" applyBorder="1" applyAlignment="1" applyProtection="1">
      <alignment vertical="center"/>
    </xf>
    <xf numFmtId="8" fontId="76" fillId="0" borderId="414" xfId="5" applyNumberFormat="1" applyFont="1" applyFill="1" applyBorder="1" applyAlignment="1" applyProtection="1">
      <alignment horizontal="center" vertical="center"/>
    </xf>
    <xf numFmtId="8" fontId="76" fillId="0" borderId="315" xfId="5" applyNumberFormat="1" applyFont="1" applyFill="1" applyBorder="1" applyAlignment="1" applyProtection="1">
      <alignment horizontal="center" vertical="center"/>
    </xf>
    <xf numFmtId="8" fontId="76" fillId="0" borderId="414" xfId="5" applyNumberFormat="1" applyFont="1" applyFill="1" applyBorder="1" applyAlignment="1" applyProtection="1">
      <alignment horizontal="center" vertical="center" wrapText="1"/>
    </xf>
    <xf numFmtId="8" fontId="76" fillId="0" borderId="315" xfId="5" applyNumberFormat="1" applyFont="1" applyFill="1" applyBorder="1" applyAlignment="1" applyProtection="1">
      <alignment horizontal="center" vertical="center" wrapText="1"/>
    </xf>
    <xf numFmtId="0" fontId="0" fillId="0" borderId="414" xfId="0" applyBorder="1" applyAlignment="1">
      <alignment horizontal="center" vertical="center"/>
    </xf>
    <xf numFmtId="0" fontId="0" fillId="0" borderId="315" xfId="0" applyBorder="1" applyAlignment="1">
      <alignment horizontal="center" vertical="center"/>
    </xf>
    <xf numFmtId="9" fontId="37" fillId="0" borderId="414" xfId="5" applyNumberFormat="1" applyFont="1" applyFill="1" applyBorder="1" applyAlignment="1" applyProtection="1">
      <alignment horizontal="right" vertical="center"/>
      <protection locked="0"/>
    </xf>
    <xf numFmtId="9" fontId="37" fillId="0" borderId="315" xfId="5" applyNumberFormat="1" applyFont="1" applyFill="1" applyBorder="1" applyAlignment="1" applyProtection="1">
      <alignment horizontal="right" vertical="center"/>
      <protection locked="0"/>
    </xf>
    <xf numFmtId="174" fontId="32" fillId="0" borderId="614" xfId="0" applyNumberFormat="1" applyFont="1" applyFill="1" applyBorder="1" applyAlignment="1" applyProtection="1">
      <alignment vertical="center"/>
    </xf>
    <xf numFmtId="174" fontId="32" fillId="0" borderId="21" xfId="0" applyNumberFormat="1" applyFont="1" applyFill="1" applyBorder="1" applyAlignment="1" applyProtection="1">
      <alignment vertical="center"/>
    </xf>
    <xf numFmtId="174" fontId="32" fillId="0" borderId="615" xfId="0" applyNumberFormat="1" applyFont="1" applyFill="1" applyBorder="1" applyAlignment="1" applyProtection="1">
      <alignment vertical="center"/>
    </xf>
    <xf numFmtId="0" fontId="39" fillId="0" borderId="619" xfId="0" applyFont="1" applyFill="1" applyBorder="1" applyProtection="1"/>
    <xf numFmtId="0" fontId="39" fillId="0" borderId="496" xfId="0" applyFont="1" applyFill="1" applyBorder="1" applyProtection="1"/>
    <xf numFmtId="0" fontId="39" fillId="0" borderId="620" xfId="0" applyFont="1" applyFill="1" applyBorder="1" applyProtection="1"/>
    <xf numFmtId="0" fontId="17" fillId="0" borderId="418" xfId="0" applyFont="1" applyFill="1" applyBorder="1" applyAlignment="1">
      <alignment horizontal="center" vertical="center" wrapText="1"/>
    </xf>
    <xf numFmtId="0" fontId="17" fillId="0" borderId="583" xfId="0" applyFont="1" applyFill="1" applyBorder="1" applyAlignment="1">
      <alignment horizontal="center" vertical="center" wrapText="1"/>
    </xf>
    <xf numFmtId="0" fontId="17" fillId="0" borderId="616" xfId="0" applyFont="1" applyFill="1" applyBorder="1" applyAlignment="1">
      <alignment horizontal="center" vertical="center" wrapText="1"/>
    </xf>
    <xf numFmtId="0" fontId="0" fillId="0" borderId="414" xfId="0" applyFill="1" applyBorder="1" applyAlignment="1">
      <alignment horizontal="center" vertical="center"/>
    </xf>
    <xf numFmtId="8" fontId="92" fillId="0" borderId="315" xfId="5" applyNumberFormat="1" applyFont="1" applyFill="1" applyBorder="1" applyAlignment="1" applyProtection="1">
      <alignment horizontal="center" vertical="center"/>
    </xf>
    <xf numFmtId="0" fontId="0" fillId="0" borderId="315" xfId="0" applyFill="1" applyBorder="1" applyAlignment="1">
      <alignment horizontal="center" vertical="center"/>
    </xf>
    <xf numFmtId="0" fontId="39" fillId="0" borderId="621" xfId="0" applyFont="1" applyFill="1" applyBorder="1" applyProtection="1"/>
    <xf numFmtId="177" fontId="118" fillId="0" borderId="414" xfId="0" applyNumberFormat="1" applyFont="1" applyFill="1" applyBorder="1" applyAlignment="1">
      <alignment horizontal="center" vertical="center"/>
    </xf>
    <xf numFmtId="177" fontId="118" fillId="0" borderId="315" xfId="0" applyNumberFormat="1" applyFont="1" applyFill="1" applyBorder="1" applyAlignment="1">
      <alignment horizontal="center" vertical="center"/>
    </xf>
    <xf numFmtId="177" fontId="0" fillId="0" borderId="414" xfId="0" applyNumberFormat="1" applyFill="1" applyBorder="1" applyAlignment="1">
      <alignment horizontal="right" vertical="center"/>
    </xf>
    <xf numFmtId="177" fontId="0" fillId="0" borderId="315" xfId="0" applyNumberFormat="1" applyFill="1" applyBorder="1" applyAlignment="1">
      <alignment horizontal="right" vertical="center"/>
    </xf>
    <xf numFmtId="177" fontId="3" fillId="0" borderId="614" xfId="0" applyNumberFormat="1" applyFont="1" applyFill="1" applyBorder="1" applyAlignment="1">
      <alignment horizontal="right" vertical="center"/>
    </xf>
    <xf numFmtId="177" fontId="3" fillId="0" borderId="621" xfId="0" applyNumberFormat="1" applyFont="1" applyFill="1" applyBorder="1" applyAlignment="1">
      <alignment horizontal="right" vertical="center"/>
    </xf>
    <xf numFmtId="177" fontId="3" fillId="0" borderId="615" xfId="0" applyNumberFormat="1" applyFont="1" applyFill="1" applyBorder="1" applyAlignment="1">
      <alignment horizontal="right" vertical="center"/>
    </xf>
    <xf numFmtId="174" fontId="36" fillId="19" borderId="78" xfId="0" applyNumberFormat="1" applyFont="1" applyFill="1" applyBorder="1" applyAlignment="1" applyProtection="1">
      <alignment horizontal="right"/>
      <protection locked="0"/>
    </xf>
    <xf numFmtId="174" fontId="331" fillId="22" borderId="117" xfId="0" applyNumberFormat="1" applyFont="1" applyFill="1" applyBorder="1" applyAlignment="1">
      <alignment vertical="center"/>
    </xf>
    <xf numFmtId="174" fontId="331" fillId="22" borderId="419" xfId="0" applyNumberFormat="1" applyFont="1" applyFill="1" applyBorder="1" applyAlignment="1">
      <alignment vertical="center"/>
    </xf>
    <xf numFmtId="174" fontId="331" fillId="22" borderId="116" xfId="0" applyNumberFormat="1" applyFont="1" applyFill="1" applyBorder="1" applyAlignment="1">
      <alignment vertical="center"/>
    </xf>
    <xf numFmtId="174" fontId="331" fillId="22" borderId="148" xfId="0" applyNumberFormat="1" applyFont="1" applyFill="1" applyBorder="1" applyAlignment="1">
      <alignment vertical="center"/>
    </xf>
    <xf numFmtId="0" fontId="332" fillId="0" borderId="0" xfId="0" applyFont="1" applyAlignment="1" applyProtection="1">
      <alignment vertical="center"/>
      <protection hidden="1"/>
    </xf>
    <xf numFmtId="0" fontId="212" fillId="17" borderId="0" xfId="0" applyFont="1" applyFill="1" applyAlignment="1">
      <alignment horizontal="center" wrapText="1"/>
    </xf>
    <xf numFmtId="0" fontId="213" fillId="17" borderId="0" xfId="0" applyFont="1" applyFill="1" applyAlignment="1">
      <alignment horizontal="center" wrapText="1"/>
    </xf>
    <xf numFmtId="0" fontId="13" fillId="0" borderId="188" xfId="0" applyFont="1" applyBorder="1" applyAlignment="1"/>
    <xf numFmtId="0" fontId="0" fillId="0" borderId="0" xfId="0" applyBorder="1" applyAlignment="1"/>
    <xf numFmtId="0" fontId="288" fillId="0" borderId="23" xfId="0" applyFont="1" applyFill="1" applyBorder="1" applyAlignment="1">
      <alignment horizontal="left" vertical="center" wrapText="1"/>
    </xf>
    <xf numFmtId="0" fontId="288" fillId="0" borderId="43" xfId="0" applyFont="1" applyFill="1" applyBorder="1" applyAlignment="1">
      <alignment horizontal="left" vertical="center" wrapText="1"/>
    </xf>
    <xf numFmtId="0" fontId="288" fillId="4" borderId="11" xfId="0" applyFont="1" applyFill="1" applyBorder="1" applyAlignment="1">
      <alignment horizontal="left" vertical="center" wrapText="1"/>
    </xf>
    <xf numFmtId="0" fontId="288" fillId="4" borderId="35" xfId="0" applyFont="1" applyFill="1" applyBorder="1" applyAlignment="1">
      <alignment horizontal="left" vertical="center" wrapText="1"/>
    </xf>
    <xf numFmtId="0" fontId="287" fillId="0" borderId="11" xfId="0" applyFont="1" applyFill="1" applyBorder="1" applyAlignment="1">
      <alignment horizontal="left" vertical="center" wrapText="1"/>
    </xf>
    <xf numFmtId="0" fontId="287" fillId="0" borderId="35" xfId="0" applyFont="1" applyFill="1" applyBorder="1" applyAlignment="1">
      <alignment horizontal="left" vertical="center" wrapText="1"/>
    </xf>
    <xf numFmtId="175" fontId="321" fillId="0" borderId="587" xfId="2" quotePrefix="1" applyNumberFormat="1" applyFont="1" applyFill="1" applyBorder="1" applyAlignment="1" applyProtection="1">
      <alignment horizontal="center" vertical="center"/>
    </xf>
    <xf numFmtId="175" fontId="321" fillId="0" borderId="588" xfId="2" quotePrefix="1" applyNumberFormat="1" applyFont="1" applyFill="1" applyBorder="1" applyAlignment="1" applyProtection="1">
      <alignment horizontal="center" vertical="center"/>
    </xf>
    <xf numFmtId="0" fontId="291" fillId="17" borderId="495" xfId="0" applyFont="1" applyFill="1" applyBorder="1" applyAlignment="1">
      <alignment horizontal="center" vertical="center" wrapText="1"/>
    </xf>
    <xf numFmtId="0" fontId="291" fillId="17" borderId="497" xfId="0" applyFont="1" applyFill="1" applyBorder="1" applyAlignment="1">
      <alignment horizontal="center" wrapText="1"/>
    </xf>
    <xf numFmtId="175" fontId="291" fillId="17" borderId="117" xfId="2" quotePrefix="1" applyNumberFormat="1" applyFont="1" applyFill="1" applyBorder="1" applyAlignment="1" applyProtection="1">
      <alignment horizontal="center" vertical="center"/>
    </xf>
    <xf numFmtId="175" fontId="291" fillId="17" borderId="9" xfId="2" quotePrefix="1" applyNumberFormat="1" applyFont="1" applyFill="1" applyBorder="1" applyAlignment="1" applyProtection="1">
      <alignment horizontal="center" vertical="center"/>
    </xf>
    <xf numFmtId="0" fontId="287" fillId="19" borderId="11" xfId="0" applyFont="1" applyFill="1" applyBorder="1" applyAlignment="1">
      <alignment horizontal="left" vertical="center" wrapText="1"/>
    </xf>
    <xf numFmtId="0" fontId="287" fillId="19" borderId="35" xfId="0" applyFont="1" applyFill="1" applyBorder="1" applyAlignment="1">
      <alignment horizontal="left" vertical="center" wrapText="1"/>
    </xf>
    <xf numFmtId="0" fontId="286" fillId="4" borderId="0" xfId="0" applyFont="1" applyFill="1" applyAlignment="1">
      <alignment horizontal="center" vertical="center"/>
    </xf>
    <xf numFmtId="0" fontId="229" fillId="17" borderId="3" xfId="0" quotePrefix="1" applyFont="1" applyFill="1" applyBorder="1" applyAlignment="1">
      <alignment horizontal="center" vertical="center" wrapText="1"/>
    </xf>
    <xf numFmtId="0" fontId="231" fillId="17" borderId="90" xfId="0" applyFont="1" applyFill="1" applyBorder="1" applyAlignment="1">
      <alignment wrapText="1"/>
    </xf>
    <xf numFmtId="0" fontId="42" fillId="0" borderId="0" xfId="0" applyFont="1" applyAlignment="1">
      <alignment horizontal="left"/>
    </xf>
    <xf numFmtId="0" fontId="233" fillId="17" borderId="0" xfId="0" applyFont="1" applyFill="1" applyAlignment="1">
      <alignment horizontal="center" vertical="center" wrapText="1"/>
    </xf>
    <xf numFmtId="0" fontId="0" fillId="0" borderId="0" xfId="0" applyAlignment="1">
      <alignment vertical="center" wrapText="1"/>
    </xf>
    <xf numFmtId="3" fontId="154" fillId="0" borderId="0" xfId="0" applyNumberFormat="1" applyFont="1" applyAlignment="1">
      <alignment horizontal="center"/>
    </xf>
    <xf numFmtId="3" fontId="71" fillId="0" borderId="0" xfId="0" applyNumberFormat="1" applyFont="1" applyAlignment="1">
      <alignment horizontal="center"/>
    </xf>
    <xf numFmtId="0" fontId="101" fillId="17" borderId="0" xfId="0" applyFont="1" applyFill="1" applyAlignment="1">
      <alignment horizontal="center" vertical="center" wrapText="1"/>
    </xf>
    <xf numFmtId="0" fontId="211" fillId="17" borderId="0" xfId="0" applyFont="1" applyFill="1" applyAlignment="1">
      <alignment horizontal="center" vertical="center" wrapText="1"/>
    </xf>
    <xf numFmtId="0" fontId="211" fillId="17" borderId="0" xfId="0" applyFont="1" applyFill="1" applyAlignment="1">
      <alignment vertical="center" wrapText="1"/>
    </xf>
    <xf numFmtId="0" fontId="230" fillId="17" borderId="0" xfId="0" applyFont="1" applyFill="1" applyAlignment="1">
      <alignment horizontal="center" vertical="center" wrapText="1"/>
    </xf>
    <xf numFmtId="0" fontId="230" fillId="17" borderId="0" xfId="0" applyFont="1" applyFill="1" applyAlignment="1">
      <alignment vertical="center" wrapText="1"/>
    </xf>
    <xf numFmtId="3" fontId="32" fillId="21" borderId="117" xfId="0" applyNumberFormat="1" applyFont="1" applyFill="1" applyBorder="1" applyAlignment="1" applyProtection="1">
      <alignment horizontal="center" vertical="center" wrapText="1"/>
    </xf>
    <xf numFmtId="0" fontId="0" fillId="21" borderId="116" xfId="0" applyFill="1" applyBorder="1" applyAlignment="1">
      <alignment horizontal="center" vertical="center" wrapText="1"/>
    </xf>
    <xf numFmtId="3" fontId="5" fillId="0" borderId="440" xfId="0" applyNumberFormat="1" applyFont="1" applyBorder="1" applyAlignment="1">
      <alignment horizontal="left" vertical="center" wrapText="1"/>
    </xf>
    <xf numFmtId="0" fontId="0" fillId="0" borderId="441" xfId="0" applyBorder="1" applyAlignment="1">
      <alignment horizontal="left" vertical="center" wrapText="1"/>
    </xf>
    <xf numFmtId="3" fontId="5" fillId="0" borderId="364" xfId="0" applyNumberFormat="1" applyFont="1" applyBorder="1" applyAlignment="1">
      <alignment horizontal="left" vertical="center" wrapText="1"/>
    </xf>
    <xf numFmtId="0" fontId="0" fillId="0" borderId="4" xfId="0" applyBorder="1" applyAlignment="1">
      <alignment horizontal="left" vertical="center" wrapText="1"/>
    </xf>
    <xf numFmtId="0" fontId="0" fillId="0" borderId="90" xfId="0" applyBorder="1" applyAlignment="1">
      <alignment horizontal="left" vertical="center" wrapText="1"/>
    </xf>
    <xf numFmtId="3" fontId="239" fillId="22" borderId="117" xfId="0" applyNumberFormat="1" applyFont="1" applyFill="1" applyBorder="1" applyAlignment="1">
      <alignment horizontal="center" vertical="center" wrapText="1"/>
    </xf>
    <xf numFmtId="3" fontId="238" fillId="22" borderId="116" xfId="0" applyNumberFormat="1" applyFont="1" applyFill="1" applyBorder="1" applyAlignment="1">
      <alignment horizontal="center" vertical="center" wrapText="1"/>
    </xf>
    <xf numFmtId="0" fontId="241" fillId="22" borderId="9" xfId="0" applyFont="1" applyFill="1" applyBorder="1" applyAlignment="1">
      <alignment horizontal="center" vertical="center" wrapText="1"/>
    </xf>
    <xf numFmtId="3" fontId="32" fillId="0" borderId="254" xfId="0" applyNumberFormat="1" applyFont="1" applyBorder="1" applyAlignment="1" applyProtection="1">
      <alignment horizontal="center" wrapText="1"/>
    </xf>
    <xf numFmtId="0" fontId="0" fillId="0" borderId="89" xfId="0" applyBorder="1" applyAlignment="1">
      <alignment horizontal="center" wrapText="1"/>
    </xf>
    <xf numFmtId="0" fontId="0" fillId="0" borderId="105" xfId="0" applyBorder="1" applyAlignment="1">
      <alignment horizontal="center" wrapText="1"/>
    </xf>
    <xf numFmtId="3" fontId="164" fillId="4" borderId="3" xfId="0" applyNumberFormat="1" applyFont="1" applyFill="1" applyBorder="1" applyAlignment="1" applyProtection="1">
      <alignment horizontal="left"/>
    </xf>
    <xf numFmtId="3" fontId="164" fillId="4" borderId="90" xfId="0" applyNumberFormat="1" applyFont="1" applyFill="1" applyBorder="1" applyAlignment="1" applyProtection="1">
      <alignment horizontal="left"/>
    </xf>
    <xf numFmtId="3" fontId="247" fillId="25" borderId="517" xfId="0" applyNumberFormat="1" applyFont="1" applyFill="1" applyBorder="1" applyAlignment="1">
      <alignment horizontal="center" vertical="center" wrapText="1"/>
    </xf>
    <xf numFmtId="3" fontId="247" fillId="25" borderId="518" xfId="0" applyNumberFormat="1" applyFont="1" applyFill="1" applyBorder="1" applyAlignment="1">
      <alignment horizontal="center" vertical="center" wrapText="1"/>
    </xf>
    <xf numFmtId="3" fontId="164" fillId="4" borderId="388" xfId="0" applyNumberFormat="1" applyFont="1" applyFill="1" applyBorder="1" applyAlignment="1" applyProtection="1">
      <alignment horizontal="left"/>
    </xf>
    <xf numFmtId="3" fontId="164" fillId="4" borderId="278" xfId="0" applyNumberFormat="1" applyFont="1" applyFill="1" applyBorder="1" applyAlignment="1" applyProtection="1">
      <alignment horizontal="left"/>
    </xf>
    <xf numFmtId="3" fontId="247" fillId="18" borderId="515" xfId="0" applyNumberFormat="1" applyFont="1" applyFill="1" applyBorder="1" applyAlignment="1">
      <alignment horizontal="center" vertical="center" wrapText="1"/>
    </xf>
    <xf numFmtId="0" fontId="247" fillId="18" borderId="516" xfId="0" applyFont="1" applyFill="1" applyBorder="1" applyAlignment="1">
      <alignment horizontal="center" vertical="center" wrapText="1"/>
    </xf>
    <xf numFmtId="168" fontId="32" fillId="21" borderId="45" xfId="0" applyNumberFormat="1" applyFont="1" applyFill="1" applyBorder="1" applyAlignment="1" applyProtection="1">
      <alignment horizontal="center" vertical="center" wrapText="1"/>
    </xf>
    <xf numFmtId="168" fontId="32" fillId="21" borderId="405" xfId="0" applyNumberFormat="1" applyFont="1" applyFill="1" applyBorder="1" applyAlignment="1" applyProtection="1">
      <alignment horizontal="center" vertical="center" wrapText="1"/>
    </xf>
    <xf numFmtId="166" fontId="32" fillId="19" borderId="391" xfId="5" applyNumberFormat="1" applyFont="1" applyFill="1" applyBorder="1" applyAlignment="1" applyProtection="1">
      <alignment horizontal="center" wrapText="1"/>
      <protection locked="0"/>
    </xf>
    <xf numFmtId="0" fontId="0" fillId="19" borderId="89" xfId="0" applyFill="1" applyBorder="1" applyAlignment="1">
      <alignment wrapText="1"/>
    </xf>
    <xf numFmtId="0" fontId="0" fillId="19" borderId="237" xfId="0" applyFill="1" applyBorder="1" applyAlignment="1">
      <alignment wrapText="1"/>
    </xf>
    <xf numFmtId="3" fontId="164" fillId="4" borderId="155" xfId="0" applyNumberFormat="1" applyFont="1" applyFill="1" applyBorder="1" applyAlignment="1" applyProtection="1">
      <alignment horizontal="left"/>
    </xf>
    <xf numFmtId="3" fontId="164" fillId="4" borderId="247" xfId="0" applyNumberFormat="1" applyFont="1" applyFill="1" applyBorder="1" applyAlignment="1" applyProtection="1">
      <alignment horizontal="left"/>
    </xf>
    <xf numFmtId="166" fontId="32" fillId="19" borderId="392" xfId="5" applyNumberFormat="1" applyFont="1" applyFill="1" applyBorder="1" applyAlignment="1" applyProtection="1">
      <alignment horizontal="center" wrapText="1"/>
      <protection locked="0"/>
    </xf>
    <xf numFmtId="0" fontId="0" fillId="19" borderId="21" xfId="0" applyFill="1" applyBorder="1" applyAlignment="1">
      <alignment wrapText="1"/>
    </xf>
    <xf numFmtId="0" fontId="0" fillId="19" borderId="43" xfId="0" applyFill="1" applyBorder="1" applyAlignment="1">
      <alignment wrapText="1"/>
    </xf>
    <xf numFmtId="3" fontId="32" fillId="0" borderId="117" xfId="0" applyNumberFormat="1" applyFont="1" applyBorder="1" applyAlignment="1" applyProtection="1">
      <alignment horizontal="center" wrapText="1"/>
    </xf>
    <xf numFmtId="0" fontId="0" fillId="0" borderId="116" xfId="0" applyBorder="1" applyAlignment="1">
      <alignment horizontal="center" wrapText="1"/>
    </xf>
    <xf numFmtId="0" fontId="0" fillId="0" borderId="192" xfId="0" applyBorder="1" applyAlignment="1">
      <alignment horizontal="center" wrapText="1"/>
    </xf>
    <xf numFmtId="166" fontId="32" fillId="0" borderId="393" xfId="5" applyNumberFormat="1" applyFont="1" applyBorder="1" applyAlignment="1" applyProtection="1">
      <alignment horizontal="center" wrapText="1"/>
    </xf>
    <xf numFmtId="0" fontId="0" fillId="0" borderId="116" xfId="0" applyBorder="1" applyAlignment="1">
      <alignment wrapText="1"/>
    </xf>
    <xf numFmtId="0" fontId="0" fillId="0" borderId="9" xfId="0" applyBorder="1" applyAlignment="1">
      <alignment wrapText="1"/>
    </xf>
    <xf numFmtId="0" fontId="75" fillId="0" borderId="0" xfId="0" applyFont="1" applyAlignment="1">
      <alignment horizontal="center"/>
    </xf>
    <xf numFmtId="3" fontId="32" fillId="9" borderId="117" xfId="0" applyNumberFormat="1" applyFont="1" applyFill="1" applyBorder="1" applyAlignment="1">
      <alignment horizontal="center" vertical="center"/>
    </xf>
    <xf numFmtId="3" fontId="32" fillId="9" borderId="116" xfId="0" applyNumberFormat="1" applyFont="1" applyFill="1" applyBorder="1" applyAlignment="1">
      <alignment horizontal="center" vertical="center"/>
    </xf>
    <xf numFmtId="3" fontId="32" fillId="9" borderId="9" xfId="0" applyNumberFormat="1" applyFont="1" applyFill="1" applyBorder="1" applyAlignment="1">
      <alignment horizontal="center" vertical="center"/>
    </xf>
    <xf numFmtId="3" fontId="32" fillId="0" borderId="46" xfId="0" applyNumberFormat="1" applyFont="1" applyBorder="1" applyAlignment="1" applyProtection="1">
      <alignment horizontal="center" wrapText="1"/>
    </xf>
    <xf numFmtId="0" fontId="0" fillId="0" borderId="19" xfId="0" applyBorder="1" applyAlignment="1">
      <alignment horizontal="center" wrapText="1"/>
    </xf>
    <xf numFmtId="0" fontId="0" fillId="0" borderId="389" xfId="0" applyBorder="1" applyAlignment="1">
      <alignment horizontal="center" wrapText="1"/>
    </xf>
    <xf numFmtId="3" fontId="32" fillId="21" borderId="18" xfId="0" applyNumberFormat="1" applyFont="1" applyFill="1" applyBorder="1" applyAlignment="1" applyProtection="1">
      <alignment horizontal="center" vertical="center" wrapText="1"/>
    </xf>
    <xf numFmtId="0" fontId="0" fillId="21" borderId="116" xfId="0" applyFill="1" applyBorder="1" applyAlignment="1">
      <alignment wrapText="1"/>
    </xf>
    <xf numFmtId="0" fontId="0" fillId="21" borderId="9" xfId="0" applyFill="1" applyBorder="1" applyAlignment="1">
      <alignment wrapText="1"/>
    </xf>
    <xf numFmtId="166" fontId="32" fillId="19" borderId="390" xfId="5" applyNumberFormat="1" applyFont="1" applyFill="1" applyBorder="1" applyAlignment="1" applyProtection="1">
      <alignment horizontal="center" wrapText="1"/>
      <protection locked="0"/>
    </xf>
    <xf numFmtId="0" fontId="0" fillId="19" borderId="19" xfId="0" applyFill="1" applyBorder="1" applyAlignment="1">
      <alignment wrapText="1"/>
    </xf>
    <xf numFmtId="0" fontId="0" fillId="19" borderId="34" xfId="0" applyFill="1" applyBorder="1" applyAlignment="1">
      <alignment wrapText="1"/>
    </xf>
    <xf numFmtId="3" fontId="32" fillId="0" borderId="134" xfId="0" applyNumberFormat="1" applyFont="1" applyBorder="1" applyAlignment="1" applyProtection="1">
      <alignment horizontal="center" wrapText="1"/>
    </xf>
    <xf numFmtId="0" fontId="0" fillId="0" borderId="77" xfId="0" applyBorder="1" applyAlignment="1">
      <alignment horizontal="center" wrapText="1"/>
    </xf>
    <xf numFmtId="0" fontId="0" fillId="0" borderId="78" xfId="0" applyBorder="1" applyAlignment="1">
      <alignment horizontal="center" wrapText="1"/>
    </xf>
    <xf numFmtId="3" fontId="175" fillId="0" borderId="254" xfId="0" applyNumberFormat="1" applyFont="1" applyFill="1" applyBorder="1" applyAlignment="1">
      <alignment horizontal="center" vertical="center" wrapText="1"/>
    </xf>
    <xf numFmtId="0" fontId="118" fillId="0" borderId="75" xfId="0" applyFont="1" applyBorder="1" applyAlignment="1">
      <alignment horizontal="center" wrapText="1"/>
    </xf>
    <xf numFmtId="177" fontId="174" fillId="0" borderId="254" xfId="0" applyNumberFormat="1" applyFont="1" applyFill="1" applyBorder="1" applyAlignment="1">
      <alignment horizontal="center" wrapText="1"/>
    </xf>
    <xf numFmtId="3" fontId="119" fillId="0" borderId="134" xfId="0" applyNumberFormat="1" applyFont="1" applyFill="1" applyBorder="1" applyAlignment="1">
      <alignment vertical="center" wrapText="1"/>
    </xf>
    <xf numFmtId="0" fontId="0" fillId="0" borderId="85" xfId="0" applyBorder="1" applyAlignment="1">
      <alignment vertical="center" wrapText="1"/>
    </xf>
    <xf numFmtId="3" fontId="247" fillId="25" borderId="238" xfId="0" applyNumberFormat="1" applyFont="1" applyFill="1" applyBorder="1" applyAlignment="1">
      <alignment horizontal="center" vertical="center" wrapText="1"/>
    </xf>
    <xf numFmtId="0" fontId="247" fillId="25" borderId="239" xfId="0" applyFont="1" applyFill="1" applyBorder="1" applyAlignment="1">
      <alignment horizontal="center" vertical="center" wrapText="1"/>
    </xf>
    <xf numFmtId="3" fontId="247" fillId="18" borderId="502" xfId="0" applyNumberFormat="1" applyFont="1" applyFill="1" applyBorder="1" applyAlignment="1">
      <alignment horizontal="center" vertical="center" wrapText="1"/>
    </xf>
    <xf numFmtId="0" fontId="247" fillId="18" borderId="514" xfId="0" applyFont="1" applyFill="1" applyBorder="1" applyAlignment="1">
      <alignment horizontal="center" vertical="center" wrapText="1"/>
    </xf>
    <xf numFmtId="166" fontId="32" fillId="19" borderId="89" xfId="5" applyNumberFormat="1" applyFont="1" applyFill="1" applyBorder="1" applyAlignment="1" applyProtection="1">
      <alignment horizontal="center" wrapText="1"/>
      <protection locked="0"/>
    </xf>
    <xf numFmtId="166" fontId="32" fillId="19" borderId="237" xfId="5" applyNumberFormat="1" applyFont="1" applyFill="1" applyBorder="1" applyAlignment="1" applyProtection="1">
      <alignment horizontal="center" wrapText="1"/>
      <protection locked="0"/>
    </xf>
    <xf numFmtId="166" fontId="32" fillId="19" borderId="396" xfId="5" applyNumberFormat="1" applyFont="1" applyFill="1" applyBorder="1" applyAlignment="1" applyProtection="1">
      <alignment horizontal="center" wrapText="1"/>
      <protection locked="0"/>
    </xf>
    <xf numFmtId="166" fontId="32" fillId="19" borderId="121" xfId="5" applyNumberFormat="1" applyFont="1" applyFill="1" applyBorder="1" applyAlignment="1" applyProtection="1">
      <alignment horizontal="center" wrapText="1"/>
      <protection locked="0"/>
    </xf>
    <xf numFmtId="166" fontId="32" fillId="19" borderId="239" xfId="5" applyNumberFormat="1" applyFont="1" applyFill="1" applyBorder="1" applyAlignment="1" applyProtection="1">
      <alignment horizontal="center" wrapText="1"/>
      <protection locked="0"/>
    </xf>
    <xf numFmtId="3" fontId="119" fillId="0" borderId="394" xfId="0" applyNumberFormat="1" applyFont="1" applyFill="1" applyBorder="1" applyAlignment="1">
      <alignment horizontal="center" vertical="center" wrapText="1"/>
    </xf>
    <xf numFmtId="0" fontId="0" fillId="0" borderId="62" xfId="0" applyBorder="1" applyAlignment="1">
      <alignment horizontal="center" vertical="center" wrapText="1"/>
    </xf>
    <xf numFmtId="166" fontId="32" fillId="19" borderId="395" xfId="5" applyNumberFormat="1" applyFont="1" applyFill="1" applyBorder="1" applyAlignment="1" applyProtection="1">
      <alignment horizontal="center" wrapText="1"/>
      <protection locked="0"/>
    </xf>
    <xf numFmtId="0" fontId="3" fillId="19" borderId="264" xfId="0" applyFont="1" applyFill="1" applyBorder="1" applyAlignment="1">
      <alignment wrapText="1"/>
    </xf>
    <xf numFmtId="0" fontId="3" fillId="19" borderId="120" xfId="0" applyFont="1" applyFill="1" applyBorder="1" applyAlignment="1">
      <alignment wrapText="1"/>
    </xf>
    <xf numFmtId="0" fontId="198" fillId="0" borderId="21" xfId="0" quotePrefix="1" applyFont="1" applyFill="1" applyBorder="1" applyAlignment="1">
      <alignment horizontal="center" vertical="center" wrapText="1"/>
    </xf>
    <xf numFmtId="0" fontId="0" fillId="0" borderId="21" xfId="0" applyBorder="1" applyAlignment="1">
      <alignment wrapText="1"/>
    </xf>
    <xf numFmtId="3" fontId="251" fillId="18" borderId="117" xfId="0" applyNumberFormat="1" applyFont="1" applyFill="1" applyBorder="1" applyAlignment="1">
      <alignment horizontal="center" vertical="center" wrapText="1"/>
    </xf>
    <xf numFmtId="0" fontId="250" fillId="18" borderId="192" xfId="0" applyFont="1" applyFill="1" applyBorder="1" applyAlignment="1">
      <alignment horizontal="center" vertical="center" wrapText="1"/>
    </xf>
    <xf numFmtId="0" fontId="250" fillId="18" borderId="192" xfId="0" applyFont="1" applyFill="1" applyBorder="1" applyAlignment="1">
      <alignment horizontal="center" wrapText="1"/>
    </xf>
    <xf numFmtId="3" fontId="32" fillId="0" borderId="46" xfId="0" applyNumberFormat="1" applyFont="1" applyFill="1" applyBorder="1" applyAlignment="1" applyProtection="1">
      <alignment horizontal="center" vertical="center" wrapText="1"/>
    </xf>
    <xf numFmtId="3" fontId="32" fillId="0" borderId="19" xfId="0" applyNumberFormat="1" applyFont="1" applyFill="1" applyBorder="1" applyAlignment="1" applyProtection="1">
      <alignment horizontal="center" vertical="center" wrapText="1"/>
    </xf>
    <xf numFmtId="0" fontId="0" fillId="0" borderId="34" xfId="0" applyFill="1" applyBorder="1" applyAlignment="1">
      <alignment horizontal="center" wrapText="1"/>
    </xf>
    <xf numFmtId="3" fontId="32" fillId="0" borderId="23" xfId="0" applyNumberFormat="1" applyFont="1" applyFill="1" applyBorder="1" applyAlignment="1" applyProtection="1">
      <alignment horizontal="center" vertical="center" wrapText="1"/>
    </xf>
    <xf numFmtId="3" fontId="32" fillId="0" borderId="21" xfId="0" applyNumberFormat="1" applyFont="1" applyFill="1" applyBorder="1" applyAlignment="1" applyProtection="1">
      <alignment horizontal="center" vertical="center" wrapText="1"/>
    </xf>
    <xf numFmtId="0" fontId="0" fillId="0" borderId="43" xfId="0" applyFill="1" applyBorder="1" applyAlignment="1">
      <alignment horizontal="center" wrapText="1"/>
    </xf>
    <xf numFmtId="0" fontId="0" fillId="19" borderId="89" xfId="0" applyFill="1" applyBorder="1" applyAlignment="1">
      <alignment horizontal="center" wrapText="1"/>
    </xf>
    <xf numFmtId="0" fontId="0" fillId="19" borderId="237" xfId="0" applyFill="1" applyBorder="1" applyAlignment="1">
      <alignment horizontal="center" wrapText="1"/>
    </xf>
    <xf numFmtId="0" fontId="0" fillId="0" borderId="0" xfId="0" applyAlignment="1">
      <alignment horizontal="center" vertical="center" wrapText="1"/>
    </xf>
    <xf numFmtId="0" fontId="246" fillId="23" borderId="502" xfId="0" applyFont="1" applyFill="1" applyBorder="1" applyAlignment="1">
      <alignment horizontal="center" vertical="center"/>
    </xf>
    <xf numFmtId="0" fontId="246" fillId="23" borderId="514" xfId="0" applyFont="1" applyFill="1" applyBorder="1" applyAlignment="1">
      <alignment horizontal="center" vertical="center"/>
    </xf>
    <xf numFmtId="3" fontId="243" fillId="22" borderId="116" xfId="0" applyNumberFormat="1" applyFont="1" applyFill="1" applyBorder="1" applyAlignment="1">
      <alignment horizontal="center" vertical="center" wrapText="1"/>
    </xf>
    <xf numFmtId="0" fontId="245" fillId="22" borderId="9" xfId="0" applyFont="1" applyFill="1" applyBorder="1" applyAlignment="1">
      <alignment horizontal="center" vertical="center" wrapText="1"/>
    </xf>
    <xf numFmtId="3" fontId="32" fillId="21" borderId="46" xfId="0" applyNumberFormat="1" applyFont="1" applyFill="1" applyBorder="1" applyAlignment="1" applyProtection="1">
      <alignment horizontal="center" vertical="center" wrapText="1"/>
    </xf>
    <xf numFmtId="3" fontId="32" fillId="21" borderId="19" xfId="0" applyNumberFormat="1" applyFont="1" applyFill="1" applyBorder="1" applyAlignment="1" applyProtection="1">
      <alignment horizontal="center" vertical="center" wrapText="1"/>
    </xf>
    <xf numFmtId="0" fontId="0" fillId="21" borderId="34" xfId="0" applyFill="1" applyBorder="1" applyAlignment="1">
      <alignment horizontal="center" wrapText="1"/>
    </xf>
    <xf numFmtId="3" fontId="32" fillId="21" borderId="23" xfId="0" applyNumberFormat="1" applyFont="1" applyFill="1" applyBorder="1" applyAlignment="1" applyProtection="1">
      <alignment horizontal="center" vertical="center" wrapText="1"/>
    </xf>
    <xf numFmtId="3" fontId="32" fillId="21" borderId="21" xfId="0" applyNumberFormat="1" applyFont="1" applyFill="1" applyBorder="1" applyAlignment="1" applyProtection="1">
      <alignment horizontal="center" vertical="center" wrapText="1"/>
    </xf>
    <xf numFmtId="0" fontId="0" fillId="21" borderId="43" xfId="0" applyFill="1" applyBorder="1" applyAlignment="1">
      <alignment horizontal="center" wrapText="1"/>
    </xf>
    <xf numFmtId="3" fontId="32" fillId="9" borderId="117" xfId="0" applyNumberFormat="1" applyFont="1" applyFill="1" applyBorder="1" applyAlignment="1">
      <alignment horizontal="center" vertical="center" wrapText="1"/>
    </xf>
    <xf numFmtId="3" fontId="32" fillId="9" borderId="116" xfId="0" applyNumberFormat="1" applyFont="1" applyFill="1" applyBorder="1" applyAlignment="1">
      <alignment horizontal="center" vertical="center" wrapText="1"/>
    </xf>
    <xf numFmtId="0" fontId="37" fillId="9" borderId="9" xfId="0" applyFont="1" applyFill="1" applyBorder="1" applyAlignment="1">
      <alignment horizontal="center" vertical="center" wrapText="1"/>
    </xf>
    <xf numFmtId="3" fontId="37" fillId="0" borderId="134" xfId="0" applyNumberFormat="1" applyFont="1" applyBorder="1" applyAlignment="1">
      <alignment horizontal="center" vertical="center" wrapText="1"/>
    </xf>
    <xf numFmtId="0" fontId="0" fillId="0" borderId="85" xfId="0" applyBorder="1" applyAlignment="1">
      <alignment horizontal="center" vertical="center" wrapText="1"/>
    </xf>
    <xf numFmtId="0" fontId="0" fillId="21" borderId="116" xfId="0" applyFill="1" applyBorder="1"/>
    <xf numFmtId="0" fontId="0" fillId="21" borderId="9" xfId="0" applyFill="1" applyBorder="1"/>
    <xf numFmtId="0" fontId="0" fillId="19" borderId="264" xfId="0" applyFill="1" applyBorder="1" applyAlignment="1">
      <alignment horizontal="center" wrapText="1"/>
    </xf>
    <xf numFmtId="0" fontId="0" fillId="19" borderId="120" xfId="0" applyFill="1" applyBorder="1" applyAlignment="1">
      <alignment horizontal="center" wrapText="1"/>
    </xf>
    <xf numFmtId="166" fontId="32" fillId="19" borderId="139" xfId="5" applyNumberFormat="1" applyFont="1" applyFill="1" applyBorder="1" applyAlignment="1" applyProtection="1">
      <alignment horizontal="center" vertical="center" wrapText="1"/>
      <protection locked="0"/>
    </xf>
    <xf numFmtId="0" fontId="0" fillId="19" borderId="279" xfId="0" applyFill="1" applyBorder="1" applyAlignment="1">
      <alignment vertical="center" wrapText="1"/>
    </xf>
    <xf numFmtId="3" fontId="32" fillId="9" borderId="117" xfId="0" applyNumberFormat="1" applyFont="1" applyFill="1" applyBorder="1" applyAlignment="1" applyProtection="1">
      <alignment horizontal="center" vertical="center" wrapText="1"/>
    </xf>
    <xf numFmtId="0" fontId="0" fillId="0" borderId="116" xfId="0" applyBorder="1" applyAlignment="1">
      <alignment horizontal="center" vertical="center" wrapText="1"/>
    </xf>
    <xf numFmtId="3" fontId="32" fillId="9" borderId="18" xfId="0" applyNumberFormat="1" applyFont="1" applyFill="1" applyBorder="1" applyAlignment="1" applyProtection="1">
      <alignment horizontal="center" vertical="center" wrapText="1"/>
    </xf>
    <xf numFmtId="0" fontId="0" fillId="0" borderId="116" xfId="0" applyBorder="1"/>
    <xf numFmtId="0" fontId="0" fillId="0" borderId="9" xfId="0" applyBorder="1"/>
    <xf numFmtId="3" fontId="32" fillId="21" borderId="246" xfId="0" applyNumberFormat="1" applyFont="1" applyFill="1" applyBorder="1" applyAlignment="1">
      <alignment horizontal="center" vertical="center"/>
    </xf>
    <xf numFmtId="3" fontId="32" fillId="21" borderId="144" xfId="0" applyNumberFormat="1" applyFont="1" applyFill="1" applyBorder="1" applyAlignment="1">
      <alignment horizontal="center" vertical="center"/>
    </xf>
    <xf numFmtId="3" fontId="32" fillId="21" borderId="153" xfId="0" applyNumberFormat="1" applyFont="1" applyFill="1" applyBorder="1" applyAlignment="1">
      <alignment horizontal="center" vertical="center"/>
    </xf>
    <xf numFmtId="3" fontId="32" fillId="21" borderId="117" xfId="0" applyNumberFormat="1" applyFont="1" applyFill="1" applyBorder="1" applyAlignment="1">
      <alignment horizontal="center" vertical="center" wrapText="1"/>
    </xf>
    <xf numFmtId="3" fontId="32" fillId="21" borderId="116" xfId="0" applyNumberFormat="1" applyFont="1" applyFill="1" applyBorder="1" applyAlignment="1">
      <alignment horizontal="center" vertical="center" wrapText="1"/>
    </xf>
    <xf numFmtId="3" fontId="32" fillId="21" borderId="9" xfId="0" applyNumberFormat="1" applyFont="1" applyFill="1" applyBorder="1" applyAlignment="1">
      <alignment horizontal="center" vertical="center" wrapText="1"/>
    </xf>
    <xf numFmtId="3" fontId="32" fillId="0" borderId="23" xfId="0" applyNumberFormat="1" applyFont="1" applyFill="1" applyBorder="1" applyAlignment="1">
      <alignment horizontal="center" vertical="center" wrapText="1"/>
    </xf>
    <xf numFmtId="3" fontId="32" fillId="0" borderId="21" xfId="0" applyNumberFormat="1" applyFont="1" applyFill="1" applyBorder="1" applyAlignment="1">
      <alignment horizontal="center" vertical="center" wrapText="1"/>
    </xf>
    <xf numFmtId="3" fontId="32" fillId="0" borderId="43" xfId="0" applyNumberFormat="1" applyFont="1" applyFill="1" applyBorder="1" applyAlignment="1">
      <alignment horizontal="center" vertical="center" wrapText="1"/>
    </xf>
    <xf numFmtId="3" fontId="238" fillId="22" borderId="117" xfId="0" applyNumberFormat="1" applyFont="1" applyFill="1" applyBorder="1" applyAlignment="1">
      <alignment horizontal="center" vertical="center" wrapText="1"/>
    </xf>
    <xf numFmtId="3" fontId="32" fillId="21" borderId="246" xfId="0" applyNumberFormat="1" applyFont="1" applyFill="1" applyBorder="1" applyAlignment="1">
      <alignment horizontal="center" vertical="center" wrapText="1"/>
    </xf>
    <xf numFmtId="0" fontId="0" fillId="21" borderId="153" xfId="0" applyFill="1" applyBorder="1" applyAlignment="1">
      <alignment horizontal="center" vertical="center" wrapText="1"/>
    </xf>
    <xf numFmtId="3" fontId="32" fillId="0" borderId="117" xfId="0" applyNumberFormat="1" applyFont="1" applyFill="1" applyBorder="1" applyAlignment="1">
      <alignment horizontal="center" vertical="center" wrapText="1"/>
    </xf>
    <xf numFmtId="3" fontId="32" fillId="0" borderId="116" xfId="0" applyNumberFormat="1" applyFont="1" applyFill="1" applyBorder="1" applyAlignment="1">
      <alignment horizontal="center" vertical="center" wrapText="1"/>
    </xf>
    <xf numFmtId="0" fontId="37" fillId="0" borderId="9" xfId="0" applyFont="1" applyBorder="1" applyAlignment="1">
      <alignment horizontal="center" vertical="center" wrapText="1"/>
    </xf>
    <xf numFmtId="3" fontId="36" fillId="18" borderId="245" xfId="0" applyNumberFormat="1" applyFont="1" applyFill="1" applyBorder="1" applyAlignment="1">
      <alignment horizontal="left" vertical="center" wrapText="1"/>
    </xf>
    <xf numFmtId="0" fontId="0" fillId="18" borderId="288" xfId="0" applyFont="1" applyFill="1" applyBorder="1" applyAlignment="1">
      <alignment horizontal="left" vertical="center" wrapText="1"/>
    </xf>
    <xf numFmtId="0" fontId="37" fillId="0" borderId="9" xfId="0" applyFont="1" applyFill="1" applyBorder="1" applyAlignment="1">
      <alignment horizontal="center" vertical="center" wrapText="1"/>
    </xf>
    <xf numFmtId="3" fontId="32" fillId="0" borderId="117" xfId="0" applyNumberFormat="1" applyFont="1" applyFill="1" applyBorder="1" applyAlignment="1">
      <alignment horizontal="left" vertical="center"/>
    </xf>
    <xf numFmtId="3" fontId="32" fillId="0" borderId="116" xfId="0" applyNumberFormat="1" applyFont="1" applyFill="1" applyBorder="1" applyAlignment="1">
      <alignment horizontal="left" vertical="center"/>
    </xf>
    <xf numFmtId="3" fontId="32" fillId="0" borderId="9" xfId="0" applyNumberFormat="1" applyFont="1" applyFill="1" applyBorder="1" applyAlignment="1">
      <alignment horizontal="left" vertical="center"/>
    </xf>
    <xf numFmtId="177" fontId="220" fillId="25" borderId="238" xfId="0" applyNumberFormat="1" applyFont="1" applyFill="1" applyBorder="1" applyAlignment="1">
      <alignment horizontal="center" vertical="center"/>
    </xf>
    <xf numFmtId="177" fontId="220" fillId="25" borderId="239" xfId="0" applyNumberFormat="1" applyFont="1" applyFill="1" applyBorder="1" applyAlignment="1">
      <alignment horizontal="center" vertical="center"/>
    </xf>
    <xf numFmtId="0" fontId="0" fillId="19" borderId="121" xfId="0" applyFill="1" applyBorder="1" applyAlignment="1">
      <alignment wrapText="1"/>
    </xf>
    <xf numFmtId="0" fontId="0" fillId="19" borderId="239" xfId="0" applyFill="1" applyBorder="1" applyAlignment="1">
      <alignment wrapText="1"/>
    </xf>
    <xf numFmtId="0" fontId="0" fillId="19" borderId="121" xfId="0" applyFill="1" applyBorder="1" applyAlignment="1">
      <alignment horizontal="center" wrapText="1"/>
    </xf>
    <xf numFmtId="0" fontId="0" fillId="19" borderId="239" xfId="0" applyFill="1" applyBorder="1" applyAlignment="1">
      <alignment horizontal="center" wrapText="1"/>
    </xf>
    <xf numFmtId="177" fontId="0" fillId="0" borderId="254" xfId="0" applyNumberFormat="1" applyBorder="1" applyAlignment="1">
      <alignment horizontal="center"/>
    </xf>
    <xf numFmtId="177" fontId="0" fillId="0" borderId="75" xfId="0" applyNumberFormat="1" applyBorder="1" applyAlignment="1">
      <alignment horizontal="center"/>
    </xf>
    <xf numFmtId="3" fontId="164" fillId="4" borderId="20" xfId="0" applyNumberFormat="1" applyFont="1" applyFill="1" applyBorder="1" applyAlignment="1" applyProtection="1">
      <alignment horizontal="left"/>
    </xf>
    <xf numFmtId="3" fontId="164" fillId="4" borderId="287" xfId="0" applyNumberFormat="1" applyFont="1" applyFill="1" applyBorder="1" applyAlignment="1" applyProtection="1">
      <alignment horizontal="left"/>
    </xf>
    <xf numFmtId="0" fontId="0" fillId="0" borderId="254" xfId="0" applyBorder="1" applyAlignment="1">
      <alignment horizontal="center"/>
    </xf>
    <xf numFmtId="0" fontId="0" fillId="0" borderId="75" xfId="0" applyBorder="1" applyAlignment="1">
      <alignment horizontal="center"/>
    </xf>
    <xf numFmtId="0" fontId="0" fillId="19" borderId="264" xfId="0" applyFill="1" applyBorder="1" applyAlignment="1">
      <alignment wrapText="1"/>
    </xf>
    <xf numFmtId="0" fontId="0" fillId="19" borderId="120" xfId="0" applyFill="1" applyBorder="1" applyAlignment="1">
      <alignment wrapText="1"/>
    </xf>
    <xf numFmtId="0" fontId="247" fillId="18" borderId="515" xfId="0" applyFont="1" applyFill="1" applyBorder="1" applyAlignment="1">
      <alignment horizontal="center" vertical="center"/>
    </xf>
    <xf numFmtId="0" fontId="247" fillId="18" borderId="516" xfId="0" applyFont="1" applyFill="1" applyBorder="1" applyAlignment="1">
      <alignment horizontal="center" vertical="center"/>
    </xf>
    <xf numFmtId="177" fontId="236" fillId="25" borderId="517" xfId="0" applyNumberFormat="1" applyFont="1" applyFill="1" applyBorder="1" applyAlignment="1">
      <alignment horizontal="center" vertical="center"/>
    </xf>
    <xf numFmtId="177" fontId="236" fillId="25" borderId="518" xfId="0" applyNumberFormat="1" applyFont="1" applyFill="1" applyBorder="1" applyAlignment="1">
      <alignment horizontal="center" vertical="center"/>
    </xf>
    <xf numFmtId="0" fontId="0" fillId="0" borderId="0" xfId="0"/>
    <xf numFmtId="3" fontId="35" fillId="18" borderId="245" xfId="0" applyNumberFormat="1" applyFont="1" applyFill="1" applyBorder="1" applyAlignment="1">
      <alignment vertical="center" wrapText="1"/>
    </xf>
    <xf numFmtId="0" fontId="0" fillId="18" borderId="71" xfId="0" applyFill="1" applyBorder="1" applyAlignment="1">
      <alignment vertical="center" wrapText="1"/>
    </xf>
    <xf numFmtId="3" fontId="35" fillId="18" borderId="261" xfId="0" applyNumberFormat="1" applyFont="1" applyFill="1" applyBorder="1" applyAlignment="1">
      <alignment vertical="center" wrapText="1"/>
    </xf>
    <xf numFmtId="0" fontId="0" fillId="18" borderId="263" xfId="0" applyFill="1" applyBorder="1" applyAlignment="1">
      <alignment vertical="center" wrapText="1"/>
    </xf>
    <xf numFmtId="0" fontId="0" fillId="21" borderId="153" xfId="0" applyFill="1" applyBorder="1" applyAlignment="1">
      <alignment horizontal="center" vertical="center"/>
    </xf>
    <xf numFmtId="3" fontId="35" fillId="18" borderId="23" xfId="0" applyNumberFormat="1" applyFont="1" applyFill="1" applyBorder="1" applyAlignment="1">
      <alignment vertical="center" wrapText="1"/>
    </xf>
    <xf numFmtId="0" fontId="0" fillId="18" borderId="21" xfId="0" applyFill="1" applyBorder="1" applyAlignment="1">
      <alignment vertical="center" wrapText="1"/>
    </xf>
    <xf numFmtId="0" fontId="0" fillId="18" borderId="43" xfId="0" applyFill="1" applyBorder="1" applyAlignment="1">
      <alignment wrapText="1"/>
    </xf>
    <xf numFmtId="3" fontId="32" fillId="22" borderId="117" xfId="0" applyNumberFormat="1" applyFont="1" applyFill="1" applyBorder="1" applyAlignment="1">
      <alignment horizontal="center" vertical="center" wrapText="1"/>
    </xf>
    <xf numFmtId="3" fontId="32" fillId="22" borderId="116" xfId="0" applyNumberFormat="1" applyFont="1" applyFill="1" applyBorder="1" applyAlignment="1">
      <alignment horizontal="center" vertical="center" wrapText="1"/>
    </xf>
    <xf numFmtId="0" fontId="37" fillId="22" borderId="9" xfId="0" applyFont="1" applyFill="1" applyBorder="1" applyAlignment="1">
      <alignment horizontal="center" vertical="center" wrapText="1"/>
    </xf>
    <xf numFmtId="166" fontId="32" fillId="19" borderId="245" xfId="5" applyNumberFormat="1" applyFont="1" applyFill="1" applyBorder="1" applyAlignment="1" applyProtection="1">
      <alignment horizontal="center" vertical="center" wrapText="1"/>
      <protection locked="0"/>
    </xf>
    <xf numFmtId="0" fontId="0" fillId="0" borderId="288" xfId="0" applyBorder="1" applyAlignment="1">
      <alignment horizontal="center" vertical="center" wrapText="1"/>
    </xf>
    <xf numFmtId="166" fontId="32" fillId="19" borderId="254" xfId="5" applyNumberFormat="1" applyFont="1" applyFill="1" applyBorder="1" applyAlignment="1" applyProtection="1">
      <alignment horizontal="center" vertical="center" wrapText="1"/>
      <protection locked="0"/>
    </xf>
    <xf numFmtId="0" fontId="0" fillId="0" borderId="237" xfId="0" applyBorder="1" applyAlignment="1">
      <alignment horizontal="center" vertical="center" wrapText="1"/>
    </xf>
    <xf numFmtId="0" fontId="91" fillId="25" borderId="266" xfId="0" applyFont="1" applyFill="1" applyBorder="1" applyAlignment="1">
      <alignment horizontal="center" vertical="center" wrapText="1"/>
    </xf>
    <xf numFmtId="0" fontId="0" fillId="25" borderId="270" xfId="0" applyFont="1" applyFill="1" applyBorder="1" applyAlignment="1">
      <alignment vertical="center" wrapText="1"/>
    </xf>
    <xf numFmtId="0" fontId="91" fillId="25" borderId="238" xfId="0" applyFont="1" applyFill="1" applyBorder="1" applyAlignment="1">
      <alignment horizontal="center" vertical="center" wrapText="1"/>
    </xf>
    <xf numFmtId="0" fontId="0" fillId="25" borderId="162" xfId="0" applyFont="1" applyFill="1" applyBorder="1" applyAlignment="1">
      <alignment vertical="center" wrapText="1"/>
    </xf>
    <xf numFmtId="3" fontId="90" fillId="0" borderId="131" xfId="0" applyNumberFormat="1" applyFont="1" applyFill="1" applyBorder="1" applyAlignment="1">
      <alignment horizontal="center" vertical="center" wrapText="1"/>
    </xf>
    <xf numFmtId="3" fontId="90" fillId="0" borderId="434" xfId="0" applyNumberFormat="1" applyFont="1" applyFill="1" applyBorder="1" applyAlignment="1">
      <alignment horizontal="center" vertical="center" wrapText="1"/>
    </xf>
    <xf numFmtId="3" fontId="90" fillId="0" borderId="120" xfId="0" applyNumberFormat="1" applyFont="1" applyFill="1" applyBorder="1" applyAlignment="1">
      <alignment horizontal="center" vertical="center" wrapText="1"/>
    </xf>
    <xf numFmtId="0" fontId="0" fillId="0" borderId="0" xfId="0" applyAlignment="1">
      <alignment wrapText="1"/>
    </xf>
    <xf numFmtId="0" fontId="33" fillId="0" borderId="0" xfId="0" applyFont="1" applyAlignment="1">
      <alignment wrapText="1"/>
    </xf>
    <xf numFmtId="0" fontId="17" fillId="0" borderId="0" xfId="0" applyFont="1" applyAlignment="1">
      <alignment wrapText="1"/>
    </xf>
    <xf numFmtId="3" fontId="32" fillId="21" borderId="246" xfId="0" applyNumberFormat="1" applyFont="1" applyFill="1" applyBorder="1" applyAlignment="1" applyProtection="1">
      <alignment horizontal="center" vertical="center" wrapText="1"/>
    </xf>
    <xf numFmtId="0" fontId="16" fillId="0" borderId="144" xfId="0" applyFont="1" applyBorder="1" applyAlignment="1">
      <alignment wrapText="1"/>
    </xf>
    <xf numFmtId="0" fontId="16" fillId="0" borderId="153" xfId="0" applyFont="1" applyBorder="1" applyAlignment="1">
      <alignment wrapText="1"/>
    </xf>
    <xf numFmtId="0" fontId="256" fillId="18" borderId="440" xfId="0" applyFont="1" applyFill="1" applyBorder="1" applyAlignment="1">
      <alignment horizontal="left" vertical="center" wrapText="1"/>
    </xf>
    <xf numFmtId="0" fontId="257" fillId="18" borderId="443" xfId="0" applyFont="1" applyFill="1" applyBorder="1" applyAlignment="1">
      <alignment horizontal="left" wrapText="1"/>
    </xf>
    <xf numFmtId="0" fontId="254" fillId="0" borderId="238" xfId="0" applyFont="1" applyFill="1" applyBorder="1" applyAlignment="1">
      <alignment horizontal="left" vertical="center" wrapText="1"/>
    </xf>
    <xf numFmtId="0" fontId="0" fillId="0" borderId="121" xfId="0" applyBorder="1" applyAlignment="1">
      <alignment vertical="center" wrapText="1"/>
    </xf>
    <xf numFmtId="0" fontId="0" fillId="0" borderId="239" xfId="0" applyBorder="1" applyAlignment="1">
      <alignment vertical="center" wrapText="1"/>
    </xf>
    <xf numFmtId="0" fontId="263" fillId="0" borderId="542" xfId="0" applyFont="1" applyBorder="1" applyAlignment="1">
      <alignment horizontal="left" vertical="center" wrapText="1"/>
    </xf>
    <xf numFmtId="0" fontId="262" fillId="0" borderId="542" xfId="0" applyFont="1" applyBorder="1" applyAlignment="1">
      <alignment horizontal="left" vertical="center" wrapText="1"/>
    </xf>
    <xf numFmtId="0" fontId="263" fillId="0" borderId="542" xfId="0" applyFont="1" applyFill="1" applyBorder="1" applyAlignment="1">
      <alignment horizontal="left" vertical="center" wrapText="1"/>
    </xf>
    <xf numFmtId="0" fontId="262" fillId="0" borderId="542" xfId="0" applyFont="1" applyFill="1" applyBorder="1" applyAlignment="1">
      <alignment horizontal="left" vertical="center" wrapText="1"/>
    </xf>
    <xf numFmtId="3" fontId="133" fillId="12" borderId="397" xfId="0" applyNumberFormat="1" applyFont="1" applyFill="1" applyBorder="1" applyAlignment="1" applyProtection="1">
      <alignment horizontal="center"/>
    </xf>
    <xf numFmtId="3" fontId="133" fillId="12" borderId="358" xfId="0" applyNumberFormat="1" applyFont="1" applyFill="1" applyBorder="1" applyAlignment="1" applyProtection="1">
      <alignment horizontal="center"/>
    </xf>
    <xf numFmtId="3" fontId="133" fillId="12" borderId="398" xfId="0" applyNumberFormat="1" applyFont="1" applyFill="1" applyBorder="1" applyAlignment="1" applyProtection="1">
      <alignment horizontal="center"/>
    </xf>
    <xf numFmtId="1" fontId="35" fillId="21" borderId="25" xfId="0" applyNumberFormat="1" applyFont="1" applyFill="1" applyBorder="1" applyAlignment="1" applyProtection="1">
      <alignment horizontal="center" vertical="center" wrapText="1"/>
      <protection hidden="1"/>
    </xf>
    <xf numFmtId="1" fontId="35" fillId="21" borderId="27" xfId="0" applyNumberFormat="1" applyFont="1" applyFill="1" applyBorder="1" applyAlignment="1" applyProtection="1">
      <alignment horizontal="center" vertical="center" wrapText="1"/>
      <protection hidden="1"/>
    </xf>
    <xf numFmtId="1" fontId="35" fillId="21" borderId="31" xfId="0" applyNumberFormat="1" applyFont="1" applyFill="1" applyBorder="1" applyAlignment="1" applyProtection="1">
      <alignment horizontal="center" vertical="center" wrapText="1"/>
      <protection hidden="1"/>
    </xf>
    <xf numFmtId="1" fontId="35" fillId="21" borderId="10" xfId="0" applyNumberFormat="1" applyFont="1" applyFill="1" applyBorder="1" applyAlignment="1" applyProtection="1">
      <alignment horizontal="center" vertical="center" wrapText="1"/>
      <protection hidden="1"/>
    </xf>
    <xf numFmtId="1" fontId="35" fillId="21" borderId="12" xfId="0" applyNumberFormat="1" applyFont="1" applyFill="1" applyBorder="1" applyAlignment="1" applyProtection="1">
      <alignment horizontal="center" vertical="center" wrapText="1"/>
      <protection hidden="1"/>
    </xf>
    <xf numFmtId="1" fontId="35" fillId="21" borderId="15" xfId="0" applyNumberFormat="1" applyFont="1" applyFill="1" applyBorder="1" applyAlignment="1" applyProtection="1">
      <alignment horizontal="center" vertical="center" wrapText="1"/>
      <protection hidden="1"/>
    </xf>
    <xf numFmtId="3" fontId="32" fillId="18" borderId="46" xfId="0" applyNumberFormat="1" applyFont="1" applyFill="1" applyBorder="1" applyAlignment="1" applyProtection="1">
      <alignment horizontal="left" vertical="center" wrapText="1"/>
    </xf>
    <xf numFmtId="3" fontId="32" fillId="18" borderId="443" xfId="0" applyNumberFormat="1" applyFont="1" applyFill="1" applyBorder="1" applyAlignment="1" applyProtection="1">
      <alignment horizontal="left" vertical="center" wrapText="1"/>
    </xf>
    <xf numFmtId="0" fontId="0" fillId="18" borderId="34" xfId="0" applyFill="1" applyBorder="1" applyAlignment="1">
      <alignment wrapText="1"/>
    </xf>
    <xf numFmtId="3" fontId="32" fillId="18" borderId="134" xfId="0" applyNumberFormat="1" applyFont="1" applyFill="1" applyBorder="1" applyAlignment="1" applyProtection="1">
      <alignment horizontal="left" vertical="center" wrapText="1"/>
    </xf>
    <xf numFmtId="3" fontId="32" fillId="18" borderId="77" xfId="0" applyNumberFormat="1" applyFont="1" applyFill="1" applyBorder="1" applyAlignment="1" applyProtection="1">
      <alignment horizontal="left" vertical="center" wrapText="1"/>
    </xf>
    <xf numFmtId="0" fontId="0" fillId="18" borderId="255" xfId="0" applyFill="1" applyBorder="1" applyAlignment="1">
      <alignment wrapText="1"/>
    </xf>
    <xf numFmtId="3" fontId="32" fillId="21" borderId="399" xfId="0" applyNumberFormat="1" applyFont="1" applyFill="1" applyBorder="1" applyAlignment="1" applyProtection="1">
      <alignment horizontal="left" vertical="center" wrapText="1"/>
    </xf>
    <xf numFmtId="3" fontId="32" fillId="21" borderId="456" xfId="0" applyNumberFormat="1" applyFont="1" applyFill="1" applyBorder="1" applyAlignment="1" applyProtection="1">
      <alignment horizontal="left" vertical="center" wrapText="1"/>
    </xf>
    <xf numFmtId="0" fontId="0" fillId="21" borderId="308" xfId="0" applyFill="1" applyBorder="1" applyAlignment="1">
      <alignment wrapText="1"/>
    </xf>
    <xf numFmtId="3" fontId="32" fillId="21" borderId="46" xfId="0" applyNumberFormat="1" applyFont="1" applyFill="1" applyBorder="1" applyAlignment="1" applyProtection="1">
      <alignment horizontal="left" vertical="center" wrapText="1"/>
      <protection hidden="1"/>
    </xf>
    <xf numFmtId="3" fontId="32" fillId="21" borderId="443" xfId="0" applyNumberFormat="1" applyFont="1" applyFill="1" applyBorder="1" applyAlignment="1" applyProtection="1">
      <alignment horizontal="left" vertical="center" wrapText="1"/>
      <protection hidden="1"/>
    </xf>
    <xf numFmtId="0" fontId="0" fillId="21" borderId="34" xfId="0" applyFill="1" applyBorder="1" applyAlignment="1">
      <alignment wrapText="1"/>
    </xf>
    <xf numFmtId="0" fontId="37" fillId="21" borderId="11" xfId="0" applyFont="1" applyFill="1" applyBorder="1" applyAlignment="1">
      <alignment horizontal="left" vertical="center" wrapText="1"/>
    </xf>
    <xf numFmtId="0" fontId="37" fillId="21" borderId="0" xfId="0" applyFont="1" applyFill="1" applyBorder="1" applyAlignment="1">
      <alignment horizontal="left" vertical="center" wrapText="1"/>
    </xf>
    <xf numFmtId="0" fontId="0" fillId="21" borderId="35" xfId="0" applyFill="1" applyBorder="1" applyAlignment="1">
      <alignment wrapText="1"/>
    </xf>
    <xf numFmtId="0" fontId="37" fillId="21" borderId="23" xfId="0" applyFont="1" applyFill="1" applyBorder="1" applyAlignment="1">
      <alignment horizontal="left" vertical="center" wrapText="1"/>
    </xf>
    <xf numFmtId="0" fontId="37" fillId="21" borderId="21" xfId="0" applyFont="1" applyFill="1" applyBorder="1" applyAlignment="1">
      <alignment horizontal="left" vertical="center" wrapText="1"/>
    </xf>
    <xf numFmtId="0" fontId="0" fillId="21" borderId="43" xfId="0" applyFill="1" applyBorder="1" applyAlignment="1">
      <alignment wrapText="1"/>
    </xf>
    <xf numFmtId="1" fontId="35" fillId="9" borderId="25" xfId="0" applyNumberFormat="1" applyFont="1" applyFill="1" applyBorder="1" applyAlignment="1" applyProtection="1">
      <alignment horizontal="center" vertical="center" wrapText="1"/>
      <protection hidden="1"/>
    </xf>
    <xf numFmtId="1" fontId="35" fillId="9" borderId="27" xfId="0" applyNumberFormat="1" applyFont="1" applyFill="1" applyBorder="1" applyAlignment="1" applyProtection="1">
      <alignment horizontal="center" vertical="center" wrapText="1"/>
      <protection hidden="1"/>
    </xf>
    <xf numFmtId="1" fontId="35" fillId="9" borderId="31" xfId="0" applyNumberFormat="1" applyFont="1" applyFill="1" applyBorder="1" applyAlignment="1" applyProtection="1">
      <alignment horizontal="center" vertical="center" wrapText="1"/>
      <protection hidden="1"/>
    </xf>
    <xf numFmtId="1" fontId="35" fillId="9" borderId="24" xfId="0" applyNumberFormat="1" applyFont="1" applyFill="1" applyBorder="1" applyAlignment="1" applyProtection="1">
      <alignment horizontal="center" vertical="center" wrapText="1"/>
      <protection hidden="1"/>
    </xf>
    <xf numFmtId="1" fontId="35" fillId="9" borderId="26" xfId="0" applyNumberFormat="1" applyFont="1" applyFill="1" applyBorder="1" applyAlignment="1" applyProtection="1">
      <alignment horizontal="center" vertical="center" wrapText="1"/>
      <protection hidden="1"/>
    </xf>
    <xf numFmtId="1" fontId="35" fillId="9" borderId="30" xfId="0" applyNumberFormat="1" applyFont="1" applyFill="1" applyBorder="1" applyAlignment="1" applyProtection="1">
      <alignment horizontal="center" vertical="center" wrapText="1"/>
      <protection hidden="1"/>
    </xf>
    <xf numFmtId="1" fontId="35" fillId="9" borderId="10" xfId="0" applyNumberFormat="1" applyFont="1" applyFill="1" applyBorder="1" applyAlignment="1" applyProtection="1">
      <alignment horizontal="center" vertical="center" wrapText="1"/>
      <protection hidden="1"/>
    </xf>
    <xf numFmtId="1" fontId="35" fillId="9" borderId="12" xfId="0" applyNumberFormat="1" applyFont="1" applyFill="1" applyBorder="1" applyAlignment="1" applyProtection="1">
      <alignment horizontal="center" vertical="center" wrapText="1"/>
      <protection hidden="1"/>
    </xf>
    <xf numFmtId="1" fontId="35" fillId="9" borderId="15" xfId="0" applyNumberFormat="1" applyFont="1" applyFill="1" applyBorder="1" applyAlignment="1" applyProtection="1">
      <alignment horizontal="center" vertical="center" wrapText="1"/>
      <protection hidden="1"/>
    </xf>
    <xf numFmtId="3" fontId="261" fillId="18" borderId="447" xfId="0" applyNumberFormat="1" applyFont="1" applyFill="1" applyBorder="1" applyAlignment="1" applyProtection="1">
      <alignment horizontal="center" wrapText="1"/>
    </xf>
    <xf numFmtId="3" fontId="261" fillId="18" borderId="448" xfId="0" applyNumberFormat="1" applyFont="1" applyFill="1" applyBorder="1" applyAlignment="1" applyProtection="1">
      <alignment horizontal="center" wrapText="1"/>
    </xf>
    <xf numFmtId="0" fontId="262" fillId="18" borderId="449" xfId="0" applyFont="1" applyFill="1" applyBorder="1" applyAlignment="1">
      <alignment horizontal="center" wrapText="1"/>
    </xf>
    <xf numFmtId="3" fontId="32" fillId="21" borderId="117" xfId="0" applyNumberFormat="1" applyFont="1" applyFill="1" applyBorder="1" applyAlignment="1">
      <alignment horizontal="center"/>
    </xf>
    <xf numFmtId="3" fontId="32" fillId="21" borderId="116" xfId="0" applyNumberFormat="1" applyFont="1" applyFill="1" applyBorder="1" applyAlignment="1">
      <alignment horizontal="center"/>
    </xf>
    <xf numFmtId="3" fontId="32" fillId="21" borderId="9" xfId="0" applyNumberFormat="1" applyFont="1" applyFill="1" applyBorder="1" applyAlignment="1">
      <alignment horizontal="center"/>
    </xf>
    <xf numFmtId="3" fontId="32" fillId="23" borderId="117" xfId="0" applyNumberFormat="1" applyFont="1" applyFill="1" applyBorder="1" applyAlignment="1">
      <alignment horizontal="center"/>
    </xf>
    <xf numFmtId="3" fontId="32" fillId="23" borderId="116" xfId="0" applyNumberFormat="1" applyFont="1" applyFill="1" applyBorder="1" applyAlignment="1">
      <alignment horizontal="center"/>
    </xf>
    <xf numFmtId="3" fontId="32" fillId="23" borderId="9" xfId="0" applyNumberFormat="1" applyFont="1" applyFill="1" applyBorder="1" applyAlignment="1">
      <alignment horizontal="center"/>
    </xf>
    <xf numFmtId="3" fontId="89" fillId="18" borderId="117" xfId="0" applyNumberFormat="1" applyFont="1" applyFill="1" applyBorder="1" applyAlignment="1" applyProtection="1">
      <alignment horizontal="center" wrapText="1"/>
    </xf>
    <xf numFmtId="3" fontId="172" fillId="18" borderId="116" xfId="0" applyNumberFormat="1" applyFont="1" applyFill="1" applyBorder="1" applyAlignment="1" applyProtection="1">
      <alignment horizontal="center" wrapText="1"/>
    </xf>
    <xf numFmtId="0" fontId="214" fillId="18" borderId="116" xfId="0" applyFont="1" applyFill="1" applyBorder="1" applyAlignment="1">
      <alignment horizontal="center" wrapText="1"/>
    </xf>
    <xf numFmtId="0" fontId="0" fillId="18" borderId="116" xfId="0" applyFill="1" applyBorder="1" applyAlignment="1">
      <alignment horizontal="center" wrapText="1"/>
    </xf>
    <xf numFmtId="0" fontId="0" fillId="18" borderId="9" xfId="0" applyFill="1" applyBorder="1" applyAlignment="1">
      <alignment horizontal="center" wrapText="1"/>
    </xf>
    <xf numFmtId="3" fontId="32" fillId="18" borderId="23" xfId="0" applyNumberFormat="1" applyFont="1" applyFill="1" applyBorder="1" applyAlignment="1">
      <alignment horizontal="center"/>
    </xf>
    <xf numFmtId="3" fontId="32" fillId="18" borderId="21" xfId="0" applyNumberFormat="1" applyFont="1" applyFill="1" applyBorder="1" applyAlignment="1">
      <alignment horizontal="center"/>
    </xf>
    <xf numFmtId="3" fontId="32" fillId="18" borderId="43" xfId="0" applyNumberFormat="1" applyFont="1" applyFill="1" applyBorder="1" applyAlignment="1">
      <alignment horizontal="center"/>
    </xf>
    <xf numFmtId="3" fontId="261" fillId="18" borderId="117" xfId="0" applyNumberFormat="1" applyFont="1" applyFill="1" applyBorder="1" applyAlignment="1" applyProtection="1">
      <alignment horizontal="center" wrapText="1"/>
    </xf>
    <xf numFmtId="3" fontId="261" fillId="18" borderId="116" xfId="0" applyNumberFormat="1" applyFont="1" applyFill="1" applyBorder="1" applyAlignment="1" applyProtection="1">
      <alignment horizontal="center" wrapText="1"/>
    </xf>
    <xf numFmtId="0" fontId="262" fillId="18" borderId="459" xfId="0" applyFont="1" applyFill="1" applyBorder="1" applyAlignment="1">
      <alignment horizontal="center" wrapText="1"/>
    </xf>
    <xf numFmtId="3" fontId="261" fillId="18" borderId="460" xfId="0" applyNumberFormat="1" applyFont="1" applyFill="1" applyBorder="1" applyAlignment="1" applyProtection="1">
      <alignment horizontal="center" wrapText="1"/>
    </xf>
    <xf numFmtId="0" fontId="262" fillId="18" borderId="9" xfId="0" applyFont="1" applyFill="1" applyBorder="1" applyAlignment="1">
      <alignment horizontal="center" wrapText="1"/>
    </xf>
    <xf numFmtId="0" fontId="0" fillId="0" borderId="9" xfId="0" applyBorder="1" applyAlignment="1">
      <alignment horizontal="center" vertical="center" wrapText="1"/>
    </xf>
    <xf numFmtId="0" fontId="268" fillId="17" borderId="0" xfId="0" applyFont="1" applyFill="1" applyAlignment="1">
      <alignment horizontal="center" vertical="center" wrapText="1"/>
    </xf>
    <xf numFmtId="3" fontId="32" fillId="0" borderId="3" xfId="0" applyNumberFormat="1" applyFont="1" applyBorder="1" applyAlignment="1">
      <alignment horizontal="left" vertical="center" wrapText="1"/>
    </xf>
    <xf numFmtId="0" fontId="0" fillId="0" borderId="90" xfId="0" applyBorder="1" applyAlignment="1">
      <alignment vertical="center" wrapText="1"/>
    </xf>
    <xf numFmtId="3" fontId="35" fillId="0" borderId="3" xfId="0" applyNumberFormat="1" applyFont="1" applyBorder="1" applyAlignment="1">
      <alignment horizontal="left" vertical="center" wrapText="1"/>
    </xf>
    <xf numFmtId="0" fontId="37" fillId="0" borderId="90" xfId="0" applyFont="1" applyBorder="1" applyAlignment="1">
      <alignment vertical="center" wrapText="1"/>
    </xf>
    <xf numFmtId="3" fontId="135" fillId="0" borderId="177" xfId="0" applyNumberFormat="1" applyFont="1" applyBorder="1" applyAlignment="1" applyProtection="1">
      <alignment vertical="center" wrapText="1"/>
    </xf>
    <xf numFmtId="3" fontId="135" fillId="0" borderId="0" xfId="0" applyNumberFormat="1" applyFont="1" applyBorder="1" applyAlignment="1" applyProtection="1">
      <alignment vertical="center" wrapText="1"/>
    </xf>
    <xf numFmtId="3" fontId="35" fillId="0" borderId="3" xfId="0" applyNumberFormat="1" applyFont="1" applyBorder="1" applyAlignment="1">
      <alignment vertical="center" wrapText="1"/>
    </xf>
    <xf numFmtId="0" fontId="0" fillId="0" borderId="4" xfId="0" applyBorder="1" applyAlignment="1">
      <alignment vertical="center" wrapText="1"/>
    </xf>
    <xf numFmtId="3" fontId="32" fillId="0" borderId="117" xfId="0" applyNumberFormat="1" applyFont="1" applyFill="1" applyBorder="1" applyAlignment="1" applyProtection="1">
      <alignment horizontal="left" vertical="center" wrapText="1"/>
    </xf>
    <xf numFmtId="0" fontId="0" fillId="0" borderId="462" xfId="0" applyBorder="1" applyAlignment="1">
      <alignment horizontal="left" vertical="center" wrapText="1"/>
    </xf>
    <xf numFmtId="3" fontId="32" fillId="0" borderId="117" xfId="0" applyNumberFormat="1" applyFont="1" applyFill="1" applyBorder="1" applyAlignment="1" applyProtection="1">
      <alignment vertical="center" wrapText="1"/>
    </xf>
    <xf numFmtId="0" fontId="0" fillId="0" borderId="462" xfId="0" applyBorder="1" applyAlignment="1">
      <alignment vertical="center" wrapText="1"/>
    </xf>
    <xf numFmtId="3" fontId="35" fillId="18" borderId="465" xfId="0" applyNumberFormat="1" applyFont="1" applyFill="1" applyBorder="1" applyAlignment="1">
      <alignment horizontal="center" vertical="center" wrapText="1"/>
    </xf>
    <xf numFmtId="0" fontId="4" fillId="18" borderId="188" xfId="0" applyFont="1" applyFill="1" applyBorder="1" applyAlignment="1">
      <alignment horizontal="center" vertical="center" wrapText="1"/>
    </xf>
    <xf numFmtId="0" fontId="4" fillId="18" borderId="392" xfId="0" applyFont="1" applyFill="1" applyBorder="1" applyAlignment="1">
      <alignment horizontal="center" vertical="center" wrapText="1"/>
    </xf>
    <xf numFmtId="3" fontId="37" fillId="0" borderId="249" xfId="0" applyNumberFormat="1" applyFont="1" applyBorder="1" applyAlignment="1">
      <alignment vertical="center" wrapText="1"/>
    </xf>
    <xf numFmtId="0" fontId="0" fillId="0" borderId="71" xfId="0" applyBorder="1" applyAlignment="1">
      <alignment vertical="center" wrapText="1"/>
    </xf>
    <xf numFmtId="0" fontId="0" fillId="0" borderId="400" xfId="0" applyBorder="1" applyAlignment="1">
      <alignment vertical="center" wrapText="1"/>
    </xf>
    <xf numFmtId="3" fontId="37" fillId="0" borderId="391" xfId="0" applyNumberFormat="1" applyFont="1" applyBorder="1" applyAlignment="1">
      <alignment vertical="center" wrapText="1"/>
    </xf>
    <xf numFmtId="0" fontId="0" fillId="0" borderId="89" xfId="0" applyBorder="1" applyAlignment="1">
      <alignment vertical="center" wrapText="1"/>
    </xf>
    <xf numFmtId="0" fontId="0" fillId="0" borderId="75" xfId="0" applyBorder="1" applyAlignment="1">
      <alignment vertical="center" wrapText="1"/>
    </xf>
    <xf numFmtId="3" fontId="37" fillId="0" borderId="20" xfId="0" applyNumberFormat="1" applyFont="1" applyBorder="1" applyAlignment="1">
      <alignment vertical="center" wrapText="1"/>
    </xf>
    <xf numFmtId="0" fontId="0" fillId="0" borderId="225" xfId="0" applyBorder="1" applyAlignment="1">
      <alignment vertical="center" wrapText="1"/>
    </xf>
    <xf numFmtId="0" fontId="0" fillId="0" borderId="233" xfId="0" applyBorder="1" applyAlignment="1">
      <alignment vertical="center" wrapText="1"/>
    </xf>
    <xf numFmtId="8" fontId="91" fillId="21" borderId="501" xfId="5" applyNumberFormat="1" applyFont="1" applyFill="1" applyBorder="1" applyAlignment="1" applyProtection="1">
      <alignment horizontal="center" vertical="center" wrapText="1"/>
    </xf>
    <xf numFmtId="0" fontId="0" fillId="0" borderId="509" xfId="0" applyBorder="1" applyAlignment="1">
      <alignment horizontal="center" vertical="center" wrapText="1"/>
    </xf>
    <xf numFmtId="0" fontId="0" fillId="0" borderId="510" xfId="0" applyBorder="1" applyAlignment="1">
      <alignment horizontal="center" vertical="center" wrapText="1"/>
    </xf>
    <xf numFmtId="8" fontId="32" fillId="0" borderId="508" xfId="5" applyNumberFormat="1" applyFont="1" applyFill="1" applyBorder="1" applyAlignment="1" applyProtection="1">
      <alignment horizontal="center" vertical="center" wrapText="1"/>
    </xf>
    <xf numFmtId="0" fontId="0" fillId="0" borderId="162" xfId="0" applyBorder="1" applyAlignment="1">
      <alignment horizontal="center" vertical="center" wrapText="1"/>
    </xf>
    <xf numFmtId="8" fontId="32" fillId="0" borderId="138" xfId="5" applyNumberFormat="1" applyFont="1" applyFill="1" applyBorder="1" applyAlignment="1" applyProtection="1">
      <alignment horizontal="center" vertical="center" wrapText="1"/>
    </xf>
    <xf numFmtId="0" fontId="0" fillId="0" borderId="77" xfId="0" applyBorder="1" applyAlignment="1">
      <alignment horizontal="center" vertical="center" wrapText="1"/>
    </xf>
    <xf numFmtId="8" fontId="92" fillId="23" borderId="26" xfId="5" applyNumberFormat="1" applyFont="1" applyFill="1" applyBorder="1" applyAlignment="1" applyProtection="1">
      <alignment horizontal="center" vertical="center" wrapText="1"/>
    </xf>
    <xf numFmtId="0" fontId="0" fillId="0" borderId="26" xfId="0" applyBorder="1" applyAlignment="1">
      <alignment horizontal="center" vertical="center" wrapText="1"/>
    </xf>
    <xf numFmtId="8" fontId="92" fillId="23" borderId="27" xfId="5" applyNumberFormat="1" applyFont="1" applyFill="1" applyBorder="1" applyAlignment="1" applyProtection="1">
      <alignment horizontal="center" vertical="center" wrapText="1"/>
    </xf>
    <xf numFmtId="0" fontId="0" fillId="0" borderId="27" xfId="0" applyBorder="1" applyAlignment="1">
      <alignment horizontal="center" vertical="center" wrapText="1"/>
    </xf>
    <xf numFmtId="8" fontId="92" fillId="23" borderId="12" xfId="5"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174" fontId="139" fillId="4" borderId="495" xfId="0" applyNumberFormat="1" applyFont="1" applyFill="1" applyBorder="1" applyAlignment="1" applyProtection="1">
      <alignment horizontal="center" vertical="center" wrapText="1"/>
    </xf>
    <xf numFmtId="0" fontId="0" fillId="0" borderId="497" xfId="0" applyBorder="1" applyAlignment="1">
      <alignment horizontal="center" vertical="center" wrapText="1"/>
    </xf>
    <xf numFmtId="174" fontId="216" fillId="4" borderId="238" xfId="0" applyNumberFormat="1" applyFont="1" applyFill="1" applyBorder="1" applyAlignment="1" applyProtection="1">
      <alignment horizontal="center" vertical="center" wrapText="1"/>
    </xf>
    <xf numFmtId="0" fontId="217" fillId="4" borderId="239" xfId="0" applyFont="1" applyFill="1" applyBorder="1" applyAlignment="1">
      <alignment horizontal="center" vertical="center" wrapText="1"/>
    </xf>
    <xf numFmtId="0" fontId="266" fillId="17" borderId="0" xfId="0" applyFont="1" applyFill="1" applyAlignment="1">
      <alignment horizontal="center" vertical="center" wrapText="1"/>
    </xf>
    <xf numFmtId="8" fontId="32" fillId="8" borderId="254" xfId="5" applyNumberFormat="1" applyFont="1" applyFill="1" applyBorder="1" applyAlignment="1" applyProtection="1">
      <alignment horizontal="center" vertical="center" wrapText="1"/>
    </xf>
    <xf numFmtId="174" fontId="324" fillId="4" borderId="395" xfId="0" applyNumberFormat="1" applyFont="1" applyFill="1" applyBorder="1" applyAlignment="1" applyProtection="1">
      <alignment horizontal="center" vertical="center" wrapText="1"/>
    </xf>
    <xf numFmtId="0" fontId="325" fillId="4" borderId="514" xfId="0" applyFont="1" applyFill="1" applyBorder="1" applyAlignment="1">
      <alignment horizontal="center" vertical="center" wrapText="1"/>
    </xf>
    <xf numFmtId="174" fontId="216" fillId="4" borderId="396" xfId="0" applyNumberFormat="1" applyFont="1" applyFill="1" applyBorder="1" applyAlignment="1" applyProtection="1">
      <alignment horizontal="center" vertical="center" wrapText="1"/>
    </xf>
    <xf numFmtId="8" fontId="32" fillId="8" borderId="134" xfId="5" applyNumberFormat="1" applyFont="1" applyFill="1" applyBorder="1" applyAlignment="1" applyProtection="1">
      <alignment horizontal="center" vertical="center" wrapText="1"/>
    </xf>
    <xf numFmtId="174" fontId="324" fillId="4" borderId="502" xfId="0" applyNumberFormat="1" applyFont="1" applyFill="1" applyBorder="1" applyAlignment="1" applyProtection="1">
      <alignment horizontal="center" vertical="center" wrapText="1"/>
    </xf>
    <xf numFmtId="174" fontId="324" fillId="4" borderId="120" xfId="0" applyNumberFormat="1" applyFont="1" applyFill="1" applyBorder="1" applyAlignment="1" applyProtection="1">
      <alignment horizontal="center" vertical="center" wrapText="1"/>
    </xf>
    <xf numFmtId="8" fontId="32" fillId="23" borderId="134" xfId="5" applyNumberFormat="1" applyFont="1" applyFill="1" applyBorder="1" applyAlignment="1" applyProtection="1">
      <alignment horizontal="center" vertical="center" wrapText="1"/>
    </xf>
    <xf numFmtId="0" fontId="0" fillId="23" borderId="77" xfId="0" applyFill="1" applyBorder="1" applyAlignment="1">
      <alignment horizontal="center" vertical="center" wrapText="1"/>
    </xf>
    <xf numFmtId="8" fontId="32" fillId="12" borderId="25" xfId="0" applyNumberFormat="1" applyFont="1" applyFill="1" applyBorder="1" applyAlignment="1" applyProtection="1">
      <alignment horizontal="center" vertical="center" wrapText="1"/>
    </xf>
    <xf numFmtId="8" fontId="32" fillId="12" borderId="31" xfId="0" applyNumberFormat="1" applyFont="1" applyFill="1" applyBorder="1" applyAlignment="1" applyProtection="1">
      <alignment horizontal="center" vertical="center" wrapText="1"/>
    </xf>
    <xf numFmtId="8" fontId="92" fillId="23" borderId="511" xfId="5" applyNumberFormat="1" applyFont="1" applyFill="1" applyBorder="1" applyAlignment="1" applyProtection="1">
      <alignment horizontal="center" vertical="center" wrapText="1"/>
    </xf>
    <xf numFmtId="0" fontId="0" fillId="0" borderId="512" xfId="0" applyBorder="1" applyAlignment="1">
      <alignment horizontal="center" vertical="center" wrapText="1"/>
    </xf>
    <xf numFmtId="0" fontId="0" fillId="0" borderId="513" xfId="0" applyBorder="1" applyAlignment="1">
      <alignment horizontal="center" vertical="center" wrapText="1"/>
    </xf>
    <xf numFmtId="0" fontId="0" fillId="0" borderId="127" xfId="0" applyBorder="1" applyAlignment="1">
      <alignment horizontal="center" vertical="center" wrapText="1"/>
    </xf>
    <xf numFmtId="172" fontId="43" fillId="19" borderId="140" xfId="0" applyNumberFormat="1" applyFont="1" applyFill="1" applyBorder="1" applyAlignment="1" applyProtection="1">
      <alignment horizontal="center" vertical="center" wrapText="1"/>
      <protection locked="0"/>
    </xf>
    <xf numFmtId="0" fontId="0" fillId="0" borderId="279" xfId="0" applyBorder="1" applyAlignment="1">
      <alignment horizontal="center" vertical="center" wrapText="1"/>
    </xf>
    <xf numFmtId="8" fontId="92" fillId="21" borderId="549" xfId="5" applyNumberFormat="1" applyFont="1" applyFill="1" applyBorder="1" applyAlignment="1" applyProtection="1">
      <alignment horizontal="center" vertical="center" wrapText="1"/>
    </xf>
    <xf numFmtId="0" fontId="16" fillId="0" borderId="463" xfId="0" applyFont="1" applyBorder="1" applyAlignment="1">
      <alignment horizontal="center" vertical="center" wrapText="1"/>
    </xf>
    <xf numFmtId="0" fontId="16" fillId="0" borderId="550" xfId="0" applyFont="1" applyBorder="1" applyAlignment="1">
      <alignment horizontal="center" vertical="center" wrapText="1"/>
    </xf>
    <xf numFmtId="0" fontId="0" fillId="0" borderId="612" xfId="0" applyBorder="1" applyAlignment="1">
      <alignment horizontal="center" vertical="center" wrapText="1"/>
    </xf>
    <xf numFmtId="0" fontId="0" fillId="0" borderId="585" xfId="0" applyBorder="1" applyAlignment="1">
      <alignment horizontal="center" vertical="center" wrapText="1"/>
    </xf>
    <xf numFmtId="0" fontId="0" fillId="0" borderId="613" xfId="0" applyBorder="1" applyAlignment="1">
      <alignment horizontal="center" vertical="center" wrapText="1"/>
    </xf>
    <xf numFmtId="0" fontId="39" fillId="21" borderId="495" xfId="0" applyFont="1" applyFill="1" applyBorder="1" applyAlignment="1" applyProtection="1">
      <alignment horizontal="center" vertical="center" wrapText="1"/>
    </xf>
    <xf numFmtId="0" fontId="8" fillId="0" borderId="496" xfId="0" applyFont="1" applyBorder="1" applyAlignment="1">
      <alignment horizontal="center" vertical="center" wrapText="1"/>
    </xf>
    <xf numFmtId="0" fontId="8" fillId="0" borderId="497" xfId="0" applyFont="1" applyBorder="1" applyAlignment="1">
      <alignment horizontal="center" vertical="center" wrapText="1"/>
    </xf>
    <xf numFmtId="8" fontId="273" fillId="21" borderId="499" xfId="5" applyNumberFormat="1" applyFont="1" applyFill="1" applyBorder="1" applyAlignment="1" applyProtection="1">
      <alignment horizontal="center" vertical="center" wrapText="1"/>
    </xf>
    <xf numFmtId="0" fontId="8" fillId="0" borderId="146" xfId="0" applyFont="1" applyBorder="1" applyAlignment="1">
      <alignment horizontal="center" vertical="center" wrapText="1"/>
    </xf>
    <xf numFmtId="8" fontId="32" fillId="12" borderId="10" xfId="0" applyNumberFormat="1" applyFont="1" applyFill="1" applyBorder="1" applyAlignment="1" applyProtection="1">
      <alignment horizontal="center" vertical="center"/>
    </xf>
    <xf numFmtId="8" fontId="32" fillId="12" borderId="15" xfId="0" applyNumberFormat="1" applyFont="1" applyFill="1" applyBorder="1" applyAlignment="1" applyProtection="1">
      <alignment horizontal="center" vertical="center"/>
    </xf>
    <xf numFmtId="8" fontId="32" fillId="12" borderId="24" xfId="0" applyNumberFormat="1" applyFont="1" applyFill="1" applyBorder="1" applyAlignment="1" applyProtection="1">
      <alignment horizontal="center" vertical="center" wrapText="1"/>
    </xf>
    <xf numFmtId="8" fontId="32" fillId="12" borderId="30" xfId="0" applyNumberFormat="1" applyFont="1" applyFill="1" applyBorder="1" applyAlignment="1" applyProtection="1">
      <alignment horizontal="center" vertical="center" wrapText="1"/>
    </xf>
    <xf numFmtId="8" fontId="92" fillId="21" borderId="501" xfId="5" applyNumberFormat="1" applyFont="1" applyFill="1" applyBorder="1" applyAlignment="1" applyProtection="1">
      <alignment horizontal="center" vertical="center" wrapText="1"/>
    </xf>
    <xf numFmtId="0" fontId="16" fillId="0" borderId="509" xfId="0" applyFont="1" applyBorder="1" applyAlignment="1">
      <alignment horizontal="center" vertical="center" wrapText="1"/>
    </xf>
    <xf numFmtId="0" fontId="16" fillId="0" borderId="510" xfId="0" applyFont="1" applyBorder="1" applyAlignment="1">
      <alignment horizontal="center" vertical="center" wrapText="1"/>
    </xf>
    <xf numFmtId="3" fontId="32" fillId="22" borderId="495" xfId="0" applyNumberFormat="1" applyFont="1" applyFill="1" applyBorder="1" applyAlignment="1">
      <alignment horizontal="center" vertical="center" wrapText="1"/>
    </xf>
    <xf numFmtId="0" fontId="0" fillId="22" borderId="496" xfId="0" applyFill="1" applyBorder="1" applyAlignment="1">
      <alignment horizontal="center" vertical="center" wrapText="1"/>
    </xf>
    <xf numFmtId="0" fontId="0" fillId="22" borderId="497" xfId="0" applyFill="1" applyBorder="1" applyAlignment="1">
      <alignment horizontal="center" vertical="center" wrapText="1"/>
    </xf>
    <xf numFmtId="8" fontId="92" fillId="23" borderId="169" xfId="5" applyNumberFormat="1" applyFont="1" applyFill="1" applyBorder="1" applyAlignment="1" applyProtection="1">
      <alignment horizontal="center" vertical="center" wrapText="1"/>
    </xf>
    <xf numFmtId="0" fontId="0" fillId="0" borderId="15" xfId="0" applyBorder="1" applyAlignment="1"/>
    <xf numFmtId="8" fontId="92" fillId="23" borderId="610" xfId="5" applyNumberFormat="1" applyFont="1" applyFill="1" applyBorder="1" applyAlignment="1" applyProtection="1">
      <alignment horizontal="center" vertical="center" wrapText="1"/>
    </xf>
    <xf numFmtId="0" fontId="0" fillId="0" borderId="30" xfId="0" applyBorder="1" applyAlignment="1"/>
    <xf numFmtId="8" fontId="92" fillId="23" borderId="611" xfId="5" applyNumberFormat="1" applyFont="1" applyFill="1" applyBorder="1" applyAlignment="1" applyProtection="1">
      <alignment horizontal="center" vertical="center" wrapText="1"/>
    </xf>
    <xf numFmtId="0" fontId="0" fillId="0" borderId="31" xfId="0" applyBorder="1" applyAlignment="1"/>
    <xf numFmtId="0" fontId="180" fillId="0" borderId="0" xfId="0" applyFont="1" applyFill="1" applyBorder="1" applyAlignment="1" applyProtection="1">
      <alignment vertical="justify" wrapText="1"/>
    </xf>
    <xf numFmtId="0" fontId="0" fillId="0" borderId="0" xfId="0" applyAlignment="1"/>
    <xf numFmtId="8" fontId="33" fillId="9" borderId="10" xfId="0" applyNumberFormat="1" applyFont="1" applyFill="1" applyBorder="1" applyAlignment="1" applyProtection="1">
      <alignment horizontal="center" vertical="center" wrapText="1"/>
    </xf>
    <xf numFmtId="8" fontId="33" fillId="9" borderId="15" xfId="0" applyNumberFormat="1" applyFont="1" applyFill="1" applyBorder="1" applyAlignment="1" applyProtection="1">
      <alignment horizontal="center" vertical="center" wrapText="1"/>
    </xf>
    <xf numFmtId="8" fontId="33" fillId="9" borderId="53" xfId="0" applyNumberFormat="1" applyFont="1" applyFill="1" applyBorder="1" applyAlignment="1" applyProtection="1">
      <alignment horizontal="center" vertical="center" wrapText="1"/>
    </xf>
    <xf numFmtId="8" fontId="33" fillId="9" borderId="55" xfId="0" applyNumberFormat="1" applyFont="1" applyFill="1" applyBorder="1" applyAlignment="1" applyProtection="1">
      <alignment horizontal="center" vertical="center" wrapText="1"/>
    </xf>
    <xf numFmtId="0" fontId="39" fillId="5" borderId="46" xfId="0" applyFont="1" applyFill="1" applyBorder="1" applyAlignment="1" applyProtection="1">
      <alignment horizontal="center" wrapText="1"/>
    </xf>
    <xf numFmtId="0" fontId="0" fillId="5" borderId="19" xfId="0" applyFill="1" applyBorder="1" applyAlignment="1">
      <alignment horizontal="center" wrapText="1"/>
    </xf>
    <xf numFmtId="0" fontId="0" fillId="5" borderId="34" xfId="0" applyFill="1" applyBorder="1" applyAlignment="1">
      <alignment horizontal="center" wrapText="1"/>
    </xf>
    <xf numFmtId="8" fontId="39" fillId="9" borderId="148" xfId="0" applyNumberFormat="1" applyFont="1" applyFill="1" applyBorder="1" applyAlignment="1" applyProtection="1">
      <alignment horizontal="center" vertical="center" wrapText="1"/>
    </xf>
    <xf numFmtId="8" fontId="126" fillId="18" borderId="401" xfId="0" applyNumberFormat="1" applyFont="1" applyFill="1" applyBorder="1" applyAlignment="1" applyProtection="1">
      <alignment horizontal="center" vertical="center" wrapText="1"/>
    </xf>
    <xf numFmtId="8" fontId="126" fillId="18" borderId="402" xfId="0" applyNumberFormat="1" applyFont="1" applyFill="1" applyBorder="1" applyAlignment="1" applyProtection="1">
      <alignment horizontal="center" vertical="center" wrapText="1"/>
    </xf>
    <xf numFmtId="8" fontId="126" fillId="18" borderId="403" xfId="0" applyNumberFormat="1" applyFont="1" applyFill="1" applyBorder="1" applyAlignment="1" applyProtection="1">
      <alignment horizontal="center" vertical="center" wrapText="1"/>
    </xf>
    <xf numFmtId="9" fontId="32" fillId="9" borderId="53" xfId="5" applyFont="1" applyFill="1" applyBorder="1" applyAlignment="1" applyProtection="1">
      <alignment horizontal="center" vertical="center" wrapText="1"/>
    </xf>
    <xf numFmtId="9" fontId="32" fillId="9" borderId="55" xfId="5" applyFont="1" applyFill="1" applyBorder="1" applyAlignment="1" applyProtection="1">
      <alignment horizontal="center" vertical="center" wrapText="1"/>
    </xf>
    <xf numFmtId="8" fontId="32" fillId="18" borderId="34" xfId="0" applyNumberFormat="1" applyFont="1" applyFill="1" applyBorder="1" applyAlignment="1" applyProtection="1">
      <alignment horizontal="center" vertical="center" wrapText="1"/>
    </xf>
    <xf numFmtId="8" fontId="32" fillId="18" borderId="43" xfId="0" applyNumberFormat="1" applyFont="1" applyFill="1" applyBorder="1" applyAlignment="1" applyProtection="1">
      <alignment horizontal="center" vertical="center" wrapText="1"/>
    </xf>
    <xf numFmtId="8" fontId="32" fillId="18" borderId="10" xfId="5" applyNumberFormat="1" applyFont="1" applyFill="1" applyBorder="1" applyAlignment="1" applyProtection="1">
      <alignment horizontal="center" vertical="center" wrapText="1"/>
    </xf>
    <xf numFmtId="8" fontId="32" fillId="18" borderId="15" xfId="5" applyNumberFormat="1" applyFont="1" applyFill="1" applyBorder="1" applyAlignment="1" applyProtection="1">
      <alignment horizontal="center" vertical="center" wrapText="1"/>
    </xf>
    <xf numFmtId="8" fontId="32" fillId="18" borderId="33" xfId="5" applyNumberFormat="1" applyFont="1" applyFill="1" applyBorder="1" applyAlignment="1" applyProtection="1">
      <alignment horizontal="center" vertical="center" wrapText="1"/>
    </xf>
    <xf numFmtId="8" fontId="32" fillId="18" borderId="42" xfId="5" applyNumberFormat="1" applyFont="1" applyFill="1" applyBorder="1" applyAlignment="1" applyProtection="1">
      <alignment horizontal="center" vertical="center" wrapText="1"/>
    </xf>
    <xf numFmtId="8" fontId="33" fillId="0" borderId="33" xfId="5" applyNumberFormat="1" applyFont="1" applyFill="1" applyBorder="1" applyAlignment="1" applyProtection="1">
      <alignment horizontal="center" vertical="center" wrapText="1"/>
    </xf>
    <xf numFmtId="8" fontId="33" fillId="0" borderId="42" xfId="5" applyNumberFormat="1" applyFont="1" applyFill="1" applyBorder="1" applyAlignment="1" applyProtection="1">
      <alignment horizontal="center" vertical="center" wrapText="1"/>
    </xf>
    <xf numFmtId="8" fontId="32" fillId="18" borderId="25" xfId="0" applyNumberFormat="1" applyFont="1" applyFill="1" applyBorder="1" applyAlignment="1" applyProtection="1">
      <alignment horizontal="center" vertical="center" wrapText="1"/>
    </xf>
    <xf numFmtId="8" fontId="32" fillId="18" borderId="31" xfId="0" applyNumberFormat="1" applyFont="1" applyFill="1" applyBorder="1" applyAlignment="1" applyProtection="1">
      <alignment horizontal="center" vertical="center" wrapText="1"/>
    </xf>
    <xf numFmtId="0" fontId="32" fillId="18" borderId="46" xfId="0" applyFont="1" applyFill="1" applyBorder="1" applyAlignment="1" applyProtection="1">
      <alignment horizontal="center" vertical="center" wrapText="1"/>
    </xf>
    <xf numFmtId="0" fontId="32" fillId="18" borderId="23" xfId="0" applyFont="1" applyFill="1" applyBorder="1" applyAlignment="1" applyProtection="1">
      <alignment horizontal="center" vertical="center" wrapText="1"/>
    </xf>
    <xf numFmtId="8" fontId="32" fillId="18" borderId="297" xfId="0" applyNumberFormat="1" applyFont="1" applyFill="1" applyBorder="1" applyAlignment="1" applyProtection="1">
      <alignment horizontal="center" vertical="center" wrapText="1"/>
    </xf>
    <xf numFmtId="8" fontId="32" fillId="18" borderId="404" xfId="0" applyNumberFormat="1" applyFont="1" applyFill="1" applyBorder="1" applyAlignment="1" applyProtection="1">
      <alignment horizontal="center" vertical="center" wrapText="1"/>
    </xf>
    <xf numFmtId="9" fontId="32" fillId="18" borderId="53" xfId="5" applyFont="1" applyFill="1" applyBorder="1" applyAlignment="1" applyProtection="1">
      <alignment horizontal="center" vertical="center" wrapText="1"/>
    </xf>
    <xf numFmtId="9" fontId="32" fillId="18" borderId="55" xfId="5" applyFont="1" applyFill="1" applyBorder="1" applyAlignment="1" applyProtection="1">
      <alignment horizontal="center" vertical="center" wrapText="1"/>
    </xf>
    <xf numFmtId="9" fontId="32" fillId="18" borderId="34" xfId="5" applyFont="1" applyFill="1" applyBorder="1" applyAlignment="1" applyProtection="1">
      <alignment horizontal="center" vertical="center" wrapText="1"/>
    </xf>
    <xf numFmtId="9" fontId="32" fillId="18" borderId="43" xfId="5" applyFont="1" applyFill="1" applyBorder="1" applyAlignment="1" applyProtection="1">
      <alignment horizontal="center" vertical="center" wrapText="1"/>
    </xf>
    <xf numFmtId="9" fontId="33" fillId="18" borderId="53" xfId="5" applyFont="1" applyFill="1" applyBorder="1" applyAlignment="1" applyProtection="1">
      <alignment horizontal="center" vertical="center" wrapText="1"/>
      <protection hidden="1"/>
    </xf>
    <xf numFmtId="9" fontId="33" fillId="18" borderId="55" xfId="5" applyFont="1" applyFill="1" applyBorder="1" applyAlignment="1" applyProtection="1">
      <alignment horizontal="center" vertical="center" wrapText="1"/>
      <protection hidden="1"/>
    </xf>
    <xf numFmtId="3" fontId="33" fillId="20" borderId="10" xfId="0" applyNumberFormat="1" applyFont="1" applyFill="1" applyBorder="1" applyAlignment="1" applyProtection="1">
      <alignment horizontal="center" vertical="center" wrapText="1"/>
    </xf>
    <xf numFmtId="3" fontId="33" fillId="20" borderId="15" xfId="0" applyNumberFormat="1" applyFont="1" applyFill="1" applyBorder="1" applyAlignment="1" applyProtection="1">
      <alignment horizontal="center" vertical="center" wrapText="1"/>
    </xf>
    <xf numFmtId="0" fontId="33" fillId="20" borderId="24" xfId="0" applyNumberFormat="1" applyFont="1" applyFill="1" applyBorder="1" applyAlignment="1" applyProtection="1">
      <alignment horizontal="center" vertical="center" wrapText="1"/>
    </xf>
    <xf numFmtId="0" fontId="34" fillId="20" borderId="30" xfId="0" applyFont="1" applyFill="1" applyBorder="1" applyAlignment="1">
      <alignment horizontal="center" vertical="center" wrapText="1"/>
    </xf>
    <xf numFmtId="1" fontId="35" fillId="9" borderId="218" xfId="0" applyNumberFormat="1" applyFont="1" applyFill="1" applyBorder="1" applyAlignment="1" applyProtection="1">
      <alignment horizontal="center" vertical="center" textRotation="90"/>
      <protection hidden="1"/>
    </xf>
    <xf numFmtId="1" fontId="35" fillId="9" borderId="80" xfId="0" applyNumberFormat="1" applyFont="1" applyFill="1" applyBorder="1" applyAlignment="1" applyProtection="1">
      <alignment horizontal="center" vertical="center" textRotation="90"/>
      <protection hidden="1"/>
    </xf>
    <xf numFmtId="1" fontId="35" fillId="9" borderId="216" xfId="0" applyNumberFormat="1" applyFont="1" applyFill="1" applyBorder="1" applyAlignment="1" applyProtection="1">
      <alignment horizontal="center" vertical="center" textRotation="90"/>
      <protection hidden="1"/>
    </xf>
    <xf numFmtId="3" fontId="35" fillId="20" borderId="53" xfId="0" applyNumberFormat="1" applyFont="1" applyFill="1" applyBorder="1" applyAlignment="1" applyProtection="1">
      <alignment horizontal="center" vertical="center" wrapText="1"/>
      <protection hidden="1"/>
    </xf>
    <xf numFmtId="3" fontId="35" fillId="20" borderId="55" xfId="0" applyNumberFormat="1" applyFont="1" applyFill="1" applyBorder="1" applyAlignment="1" applyProtection="1">
      <alignment horizontal="center" vertical="center" wrapText="1"/>
      <protection hidden="1"/>
    </xf>
    <xf numFmtId="0" fontId="33" fillId="20" borderId="30" xfId="0" applyNumberFormat="1" applyFont="1" applyFill="1" applyBorder="1" applyAlignment="1" applyProtection="1">
      <alignment horizontal="center" vertical="center" wrapText="1"/>
    </xf>
    <xf numFmtId="3" fontId="35" fillId="20" borderId="34" xfId="0" applyNumberFormat="1" applyFont="1" applyFill="1" applyBorder="1" applyAlignment="1" applyProtection="1">
      <alignment horizontal="center" vertical="center" wrapText="1"/>
      <protection hidden="1"/>
    </xf>
    <xf numFmtId="3" fontId="35" fillId="20" borderId="43" xfId="0" applyNumberFormat="1" applyFont="1" applyFill="1" applyBorder="1" applyAlignment="1" applyProtection="1">
      <alignment horizontal="center" vertical="center" wrapText="1"/>
      <protection hidden="1"/>
    </xf>
    <xf numFmtId="3" fontId="33" fillId="9" borderId="53" xfId="0" applyNumberFormat="1" applyFont="1" applyFill="1" applyBorder="1" applyAlignment="1" applyProtection="1">
      <alignment horizontal="center" vertical="center" wrapText="1"/>
    </xf>
    <xf numFmtId="3" fontId="33" fillId="9" borderId="55" xfId="0" applyNumberFormat="1" applyFont="1" applyFill="1" applyBorder="1" applyAlignment="1" applyProtection="1">
      <alignment horizontal="center" vertical="center" wrapText="1"/>
    </xf>
    <xf numFmtId="0" fontId="33" fillId="20" borderId="25" xfId="0" applyNumberFormat="1" applyFont="1" applyFill="1" applyBorder="1" applyAlignment="1" applyProtection="1">
      <alignment horizontal="center" vertical="center" wrapText="1"/>
    </xf>
    <xf numFmtId="0" fontId="33" fillId="20" borderId="31" xfId="0" applyNumberFormat="1" applyFont="1" applyFill="1" applyBorder="1" applyAlignment="1" applyProtection="1">
      <alignment horizontal="center" vertical="center" wrapText="1"/>
    </xf>
    <xf numFmtId="3" fontId="35" fillId="20" borderId="46" xfId="0" applyNumberFormat="1" applyFont="1" applyFill="1" applyBorder="1" applyAlignment="1" applyProtection="1">
      <alignment horizontal="center" vertical="center" wrapText="1"/>
      <protection hidden="1"/>
    </xf>
    <xf numFmtId="3" fontId="35" fillId="20" borderId="23" xfId="0" applyNumberFormat="1" applyFont="1" applyFill="1" applyBorder="1" applyAlignment="1" applyProtection="1">
      <alignment horizontal="center" vertical="center" wrapText="1"/>
      <protection hidden="1"/>
    </xf>
    <xf numFmtId="0" fontId="33" fillId="20" borderId="24" xfId="0" applyNumberFormat="1" applyFont="1" applyFill="1" applyBorder="1" applyAlignment="1" applyProtection="1">
      <alignment horizontal="center" vertical="center" wrapText="1"/>
      <protection hidden="1"/>
    </xf>
    <xf numFmtId="0" fontId="34" fillId="20" borderId="30" xfId="0" applyFont="1" applyFill="1" applyBorder="1" applyAlignment="1">
      <alignment wrapText="1"/>
    </xf>
    <xf numFmtId="0" fontId="37" fillId="20" borderId="43" xfId="0" applyFont="1" applyFill="1" applyBorder="1" applyAlignment="1"/>
    <xf numFmtId="0" fontId="33" fillId="20" borderId="34" xfId="0" applyNumberFormat="1" applyFont="1" applyFill="1" applyBorder="1" applyAlignment="1" applyProtection="1">
      <alignment horizontal="center" vertical="center" wrapText="1"/>
      <protection hidden="1"/>
    </xf>
    <xf numFmtId="0" fontId="34" fillId="20" borderId="43" xfId="0" applyFont="1" applyFill="1" applyBorder="1" applyAlignment="1">
      <alignment wrapText="1"/>
    </xf>
    <xf numFmtId="3" fontId="33" fillId="20" borderId="10" xfId="0" applyNumberFormat="1" applyFont="1" applyFill="1" applyBorder="1" applyAlignment="1" applyProtection="1">
      <alignment horizontal="center" vertical="center" wrapText="1"/>
      <protection hidden="1"/>
    </xf>
    <xf numFmtId="0" fontId="34" fillId="20" borderId="15" xfId="0" applyFont="1" applyFill="1" applyBorder="1" applyAlignment="1">
      <alignment wrapText="1"/>
    </xf>
    <xf numFmtId="0" fontId="33" fillId="20" borderId="33" xfId="0" applyNumberFormat="1" applyFont="1" applyFill="1" applyBorder="1" applyAlignment="1" applyProtection="1">
      <alignment horizontal="center" vertical="center" wrapText="1"/>
      <protection hidden="1"/>
    </xf>
    <xf numFmtId="0" fontId="34" fillId="20" borderId="42" xfId="0" applyFont="1" applyFill="1" applyBorder="1" applyAlignment="1">
      <alignment wrapText="1"/>
    </xf>
    <xf numFmtId="0" fontId="37" fillId="20" borderId="23" xfId="0" applyFont="1" applyFill="1" applyBorder="1" applyAlignment="1"/>
    <xf numFmtId="1" fontId="35" fillId="9" borderId="218" xfId="0" quotePrefix="1" applyNumberFormat="1" applyFont="1" applyFill="1" applyBorder="1" applyAlignment="1" applyProtection="1">
      <alignment horizontal="center" vertical="center" textRotation="90"/>
      <protection hidden="1"/>
    </xf>
    <xf numFmtId="3" fontId="32" fillId="18" borderId="87" xfId="0" applyNumberFormat="1" applyFont="1" applyFill="1" applyBorder="1" applyAlignment="1" applyProtection="1">
      <alignment horizontal="left" vertical="center"/>
    </xf>
    <xf numFmtId="3" fontId="32" fillId="18" borderId="164" xfId="0" applyNumberFormat="1" applyFont="1" applyFill="1" applyBorder="1" applyAlignment="1" applyProtection="1">
      <alignment horizontal="left" vertical="center"/>
    </xf>
    <xf numFmtId="177" fontId="163" fillId="0" borderId="164" xfId="0" applyNumberFormat="1" applyFont="1" applyFill="1" applyBorder="1" applyAlignment="1" applyProtection="1">
      <alignment horizontal="center" vertical="center" wrapText="1"/>
    </xf>
    <xf numFmtId="0" fontId="32" fillId="21" borderId="10" xfId="0" applyFont="1" applyFill="1" applyBorder="1" applyAlignment="1">
      <alignment vertical="center" wrapText="1"/>
    </xf>
    <xf numFmtId="0" fontId="32" fillId="21" borderId="12" xfId="0" applyFont="1" applyFill="1" applyBorder="1" applyAlignment="1">
      <alignment vertical="center" wrapText="1"/>
    </xf>
    <xf numFmtId="0" fontId="32" fillId="21" borderId="168" xfId="0" applyFont="1" applyFill="1" applyBorder="1" applyAlignment="1">
      <alignment vertical="center" wrapText="1"/>
    </xf>
    <xf numFmtId="179" fontId="36" fillId="19" borderId="87" xfId="0" applyNumberFormat="1" applyFont="1" applyFill="1" applyBorder="1" applyAlignment="1" applyProtection="1">
      <alignment horizontal="center" vertical="center"/>
      <protection locked="0"/>
    </xf>
    <xf numFmtId="3" fontId="32" fillId="18" borderId="74" xfId="0" applyNumberFormat="1" applyFont="1" applyFill="1" applyBorder="1" applyAlignment="1" applyProtection="1">
      <alignment horizontal="left" vertical="center"/>
    </xf>
    <xf numFmtId="3" fontId="32" fillId="18" borderId="75" xfId="0" applyNumberFormat="1" applyFont="1" applyFill="1" applyBorder="1" applyAlignment="1" applyProtection="1">
      <alignment horizontal="left" vertical="center"/>
    </xf>
    <xf numFmtId="3" fontId="219" fillId="18" borderId="131" xfId="0" applyNumberFormat="1" applyFont="1" applyFill="1" applyBorder="1" applyAlignment="1" applyProtection="1">
      <alignment horizontal="left" vertical="center"/>
    </xf>
    <xf numFmtId="3" fontId="219" fillId="18" borderId="270" xfId="0" applyNumberFormat="1" applyFont="1" applyFill="1" applyBorder="1" applyAlignment="1" applyProtection="1">
      <alignment horizontal="left" vertical="center"/>
    </xf>
    <xf numFmtId="3" fontId="32" fillId="12" borderId="395" xfId="0" applyNumberFormat="1" applyFont="1" applyFill="1" applyBorder="1" applyAlignment="1" applyProtection="1">
      <alignment horizontal="left" vertical="center"/>
    </xf>
    <xf numFmtId="3" fontId="32" fillId="12" borderId="270" xfId="0" applyNumberFormat="1" applyFont="1" applyFill="1" applyBorder="1" applyAlignment="1" applyProtection="1">
      <alignment horizontal="left" vertical="center"/>
    </xf>
    <xf numFmtId="177" fontId="36" fillId="0" borderId="164" xfId="0" applyNumberFormat="1" applyFont="1" applyFill="1" applyBorder="1" applyAlignment="1" applyProtection="1">
      <alignment horizontal="center" vertical="center" wrapText="1"/>
    </xf>
    <xf numFmtId="3" fontId="32" fillId="12" borderId="164" xfId="0" applyNumberFormat="1" applyFont="1" applyFill="1" applyBorder="1" applyAlignment="1" applyProtection="1">
      <alignment horizontal="left" vertical="center"/>
    </xf>
    <xf numFmtId="3" fontId="32" fillId="12" borderId="391" xfId="0" applyNumberFormat="1" applyFont="1" applyFill="1" applyBorder="1" applyAlignment="1" applyProtection="1">
      <alignment horizontal="left" vertical="center"/>
    </xf>
    <xf numFmtId="3" fontId="32" fillId="12" borderId="75" xfId="0" applyNumberFormat="1" applyFont="1" applyFill="1" applyBorder="1" applyAlignment="1" applyProtection="1">
      <alignment horizontal="left" vertical="center"/>
    </xf>
    <xf numFmtId="3" fontId="32" fillId="12" borderId="87" xfId="0" applyNumberFormat="1" applyFont="1" applyFill="1" applyBorder="1" applyAlignment="1" applyProtection="1">
      <alignment horizontal="left" vertical="center"/>
    </xf>
    <xf numFmtId="3" fontId="32" fillId="18" borderId="393" xfId="0" applyNumberFormat="1" applyFont="1" applyFill="1" applyBorder="1" applyAlignment="1" applyProtection="1">
      <alignment horizontal="center" vertical="center" wrapText="1"/>
    </xf>
    <xf numFmtId="0" fontId="0" fillId="18" borderId="480" xfId="0" applyFill="1" applyBorder="1" applyAlignment="1">
      <alignment wrapText="1"/>
    </xf>
    <xf numFmtId="3" fontId="32" fillId="18" borderId="479" xfId="0" applyNumberFormat="1" applyFont="1" applyFill="1" applyBorder="1" applyAlignment="1" applyProtection="1">
      <alignment horizontal="center" vertical="center" wrapText="1"/>
    </xf>
    <xf numFmtId="0" fontId="0" fillId="18" borderId="481" xfId="0" applyFill="1" applyBorder="1" applyAlignment="1">
      <alignment wrapText="1"/>
    </xf>
    <xf numFmtId="3" fontId="221" fillId="4" borderId="197" xfId="0" applyNumberFormat="1" applyFont="1" applyFill="1" applyBorder="1" applyAlignment="1">
      <alignment vertical="center" wrapText="1"/>
    </xf>
    <xf numFmtId="0" fontId="221" fillId="4" borderId="172" xfId="0" applyFont="1" applyFill="1" applyBorder="1" applyAlignment="1">
      <alignment vertical="center" wrapText="1"/>
    </xf>
    <xf numFmtId="3" fontId="221" fillId="4" borderId="80" xfId="0" applyNumberFormat="1" applyFont="1" applyFill="1" applyBorder="1" applyAlignment="1">
      <alignment vertical="center" wrapText="1"/>
    </xf>
    <xf numFmtId="0" fontId="221" fillId="4" borderId="80" xfId="0" applyFont="1" applyFill="1" applyBorder="1" applyAlignment="1">
      <alignment vertical="center" wrapText="1"/>
    </xf>
    <xf numFmtId="3" fontId="301" fillId="22" borderId="409" xfId="0" applyNumberFormat="1" applyFont="1" applyFill="1" applyBorder="1" applyAlignment="1">
      <alignment vertical="center" wrapText="1"/>
    </xf>
    <xf numFmtId="0" fontId="302" fillId="22" borderId="216" xfId="0" applyFont="1" applyFill="1" applyBorder="1" applyAlignment="1">
      <alignment vertical="center" wrapText="1"/>
    </xf>
    <xf numFmtId="174" fontId="301" fillId="22" borderId="407" xfId="0" applyNumberFormat="1" applyFont="1" applyFill="1" applyBorder="1" applyAlignment="1">
      <alignment vertical="center" wrapText="1"/>
    </xf>
    <xf numFmtId="0" fontId="302" fillId="22" borderId="171" xfId="0" applyFont="1" applyFill="1" applyBorder="1" applyAlignment="1">
      <alignment wrapText="1"/>
    </xf>
    <xf numFmtId="174" fontId="221" fillId="4" borderId="224" xfId="0" applyNumberFormat="1" applyFont="1" applyFill="1" applyBorder="1" applyAlignment="1">
      <alignment vertical="center" wrapText="1"/>
    </xf>
    <xf numFmtId="0" fontId="221" fillId="4" borderId="227" xfId="0" applyFont="1" applyFill="1" applyBorder="1" applyAlignment="1">
      <alignment wrapText="1"/>
    </xf>
    <xf numFmtId="174" fontId="221" fillId="4" borderId="165" xfId="0" applyNumberFormat="1" applyFont="1" applyFill="1" applyBorder="1" applyAlignment="1">
      <alignment vertical="center" wrapText="1"/>
    </xf>
    <xf numFmtId="0" fontId="221" fillId="4" borderId="167" xfId="0" applyFont="1" applyFill="1" applyBorder="1" applyAlignment="1">
      <alignment wrapText="1"/>
    </xf>
    <xf numFmtId="166" fontId="221" fillId="4" borderId="56" xfId="0" applyNumberFormat="1" applyFont="1" applyFill="1" applyBorder="1" applyAlignment="1">
      <alignment vertical="center" wrapText="1"/>
    </xf>
    <xf numFmtId="0" fontId="221" fillId="4" borderId="70" xfId="0" applyFont="1" applyFill="1" applyBorder="1" applyAlignment="1">
      <alignment wrapText="1"/>
    </xf>
    <xf numFmtId="3" fontId="221" fillId="4" borderId="218" xfId="0" applyNumberFormat="1" applyFont="1" applyFill="1" applyBorder="1" applyAlignment="1">
      <alignment vertical="center" wrapText="1"/>
    </xf>
    <xf numFmtId="166" fontId="221" fillId="4" borderId="78" xfId="0" applyNumberFormat="1" applyFont="1" applyFill="1" applyBorder="1" applyAlignment="1">
      <alignment vertical="center" wrapText="1"/>
    </xf>
    <xf numFmtId="174" fontId="221" fillId="4" borderId="167" xfId="0" applyNumberFormat="1" applyFont="1" applyFill="1" applyBorder="1" applyAlignment="1">
      <alignment vertical="center" wrapText="1"/>
    </xf>
    <xf numFmtId="166" fontId="301" fillId="22" borderId="408" xfId="0" applyNumberFormat="1" applyFont="1" applyFill="1" applyBorder="1" applyAlignment="1">
      <alignment vertical="center" wrapText="1"/>
    </xf>
    <xf numFmtId="0" fontId="302" fillId="22" borderId="287" xfId="0" applyFont="1" applyFill="1" applyBorder="1" applyAlignment="1">
      <alignment wrapText="1"/>
    </xf>
    <xf numFmtId="166" fontId="221" fillId="4" borderId="70" xfId="0" applyNumberFormat="1" applyFont="1" applyFill="1" applyBorder="1" applyAlignment="1">
      <alignment vertical="center" wrapText="1"/>
    </xf>
    <xf numFmtId="0" fontId="32" fillId="21" borderId="189" xfId="0" applyFont="1" applyFill="1" applyBorder="1" applyAlignment="1">
      <alignment horizontal="center" vertical="center"/>
    </xf>
    <xf numFmtId="0" fontId="221" fillId="4" borderId="82" xfId="0" applyFont="1" applyFill="1" applyBorder="1" applyAlignment="1">
      <alignment wrapText="1"/>
    </xf>
    <xf numFmtId="3" fontId="298" fillId="23" borderId="409" xfId="0" applyNumberFormat="1" applyFont="1" applyFill="1" applyBorder="1" applyAlignment="1">
      <alignment vertical="center" wrapText="1"/>
    </xf>
    <xf numFmtId="0" fontId="298" fillId="23" borderId="216" xfId="0" applyFont="1" applyFill="1" applyBorder="1" applyAlignment="1">
      <alignment vertical="center" wrapText="1"/>
    </xf>
    <xf numFmtId="3" fontId="203" fillId="22" borderId="218" xfId="0" applyNumberFormat="1" applyFont="1" applyFill="1" applyBorder="1" applyAlignment="1">
      <alignment vertical="center" wrapText="1"/>
    </xf>
    <xf numFmtId="0" fontId="203" fillId="22" borderId="216" xfId="0" applyFont="1" applyFill="1" applyBorder="1" applyAlignment="1">
      <alignment vertical="center" wrapText="1"/>
    </xf>
    <xf numFmtId="0" fontId="32" fillId="21" borderId="189" xfId="0" applyFont="1" applyFill="1" applyBorder="1" applyAlignment="1">
      <alignment horizontal="center"/>
    </xf>
    <xf numFmtId="174" fontId="298" fillId="22" borderId="165" xfId="0" applyNumberFormat="1" applyFont="1" applyFill="1" applyBorder="1" applyAlignment="1">
      <alignment vertical="center" wrapText="1"/>
    </xf>
    <xf numFmtId="0" fontId="298" fillId="22" borderId="167" xfId="0" applyFont="1" applyFill="1" applyBorder="1" applyAlignment="1">
      <alignment wrapText="1"/>
    </xf>
    <xf numFmtId="166" fontId="298" fillId="22" borderId="56" xfId="0" applyNumberFormat="1" applyFont="1" applyFill="1" applyBorder="1" applyAlignment="1">
      <alignment vertical="center" wrapText="1"/>
    </xf>
    <xf numFmtId="0" fontId="298" fillId="22" borderId="70" xfId="0" applyFont="1" applyFill="1" applyBorder="1" applyAlignment="1">
      <alignment wrapText="1"/>
    </xf>
    <xf numFmtId="3" fontId="221" fillId="23" borderId="409" xfId="0" applyNumberFormat="1" applyFont="1" applyFill="1" applyBorder="1" applyAlignment="1">
      <alignment vertical="center" wrapText="1"/>
    </xf>
    <xf numFmtId="0" fontId="221" fillId="23" borderId="216" xfId="0" applyFont="1" applyFill="1" applyBorder="1" applyAlignment="1">
      <alignment vertical="center" wrapText="1"/>
    </xf>
    <xf numFmtId="3" fontId="221" fillId="22" borderId="218" xfId="0" applyNumberFormat="1" applyFont="1" applyFill="1" applyBorder="1" applyAlignment="1">
      <alignment vertical="center" wrapText="1"/>
    </xf>
    <xf numFmtId="0" fontId="221" fillId="22" borderId="80" xfId="0" applyFont="1" applyFill="1" applyBorder="1" applyAlignment="1">
      <alignment vertical="center" wrapText="1"/>
    </xf>
    <xf numFmtId="3" fontId="298" fillId="22" borderId="172" xfId="0" applyNumberFormat="1" applyFont="1" applyFill="1" applyBorder="1" applyAlignment="1">
      <alignment vertical="center" wrapText="1"/>
    </xf>
    <xf numFmtId="0" fontId="221" fillId="22" borderId="216" xfId="0" applyFont="1" applyFill="1" applyBorder="1" applyAlignment="1">
      <alignment vertical="center" wrapText="1"/>
    </xf>
    <xf numFmtId="3" fontId="221" fillId="22" borderId="80" xfId="0" applyNumberFormat="1" applyFont="1" applyFill="1" applyBorder="1" applyAlignment="1">
      <alignment vertical="center" wrapText="1"/>
    </xf>
    <xf numFmtId="174" fontId="203" fillId="22" borderId="165" xfId="0" applyNumberFormat="1" applyFont="1" applyFill="1" applyBorder="1" applyAlignment="1">
      <alignment vertical="center" wrapText="1"/>
    </xf>
    <xf numFmtId="174" fontId="203" fillId="22" borderId="167" xfId="0" applyNumberFormat="1" applyFont="1" applyFill="1" applyBorder="1" applyAlignment="1">
      <alignment vertical="center" wrapText="1"/>
    </xf>
    <xf numFmtId="0" fontId="203" fillId="22" borderId="171" xfId="0" applyFont="1" applyFill="1" applyBorder="1" applyAlignment="1">
      <alignment wrapText="1"/>
    </xf>
    <xf numFmtId="166" fontId="203" fillId="22" borderId="56" xfId="0" applyNumberFormat="1" applyFont="1" applyFill="1" applyBorder="1" applyAlignment="1">
      <alignment vertical="center" wrapText="1"/>
    </xf>
    <xf numFmtId="166" fontId="203" fillId="22" borderId="70" xfId="0" applyNumberFormat="1" applyFont="1" applyFill="1" applyBorder="1" applyAlignment="1">
      <alignment vertical="center" wrapText="1"/>
    </xf>
    <xf numFmtId="0" fontId="203" fillId="22" borderId="287" xfId="0" applyFont="1" applyFill="1" applyBorder="1" applyAlignment="1">
      <alignment wrapText="1"/>
    </xf>
    <xf numFmtId="0" fontId="298" fillId="22" borderId="171" xfId="0" applyFont="1" applyFill="1" applyBorder="1" applyAlignment="1">
      <alignment wrapText="1"/>
    </xf>
    <xf numFmtId="0" fontId="298" fillId="22" borderId="287" xfId="0" applyFont="1" applyFill="1" applyBorder="1" applyAlignment="1">
      <alignment wrapText="1"/>
    </xf>
    <xf numFmtId="0" fontId="32" fillId="21" borderId="189" xfId="0" applyFont="1" applyFill="1" applyBorder="1" applyAlignment="1">
      <alignment horizontal="center" vertical="center" wrapText="1"/>
    </xf>
    <xf numFmtId="174" fontId="298" fillId="22" borderId="227" xfId="0" applyNumberFormat="1" applyFont="1" applyFill="1" applyBorder="1" applyAlignment="1">
      <alignment vertical="center" wrapText="1"/>
    </xf>
    <xf numFmtId="166" fontId="298" fillId="22" borderId="406" xfId="0" applyNumberFormat="1" applyFont="1" applyFill="1" applyBorder="1" applyAlignment="1">
      <alignment vertical="center" wrapText="1"/>
    </xf>
    <xf numFmtId="166" fontId="298" fillId="22" borderId="293" xfId="0" applyNumberFormat="1" applyFont="1" applyFill="1" applyBorder="1" applyAlignment="1">
      <alignment vertical="center" wrapText="1"/>
    </xf>
    <xf numFmtId="174" fontId="298" fillId="23" borderId="407" xfId="0" applyNumberFormat="1" applyFont="1" applyFill="1" applyBorder="1" applyAlignment="1">
      <alignment vertical="center" wrapText="1"/>
    </xf>
    <xf numFmtId="0" fontId="298" fillId="23" borderId="171" xfId="0" applyFont="1" applyFill="1" applyBorder="1" applyAlignment="1">
      <alignment wrapText="1"/>
    </xf>
    <xf numFmtId="166" fontId="298" fillId="23" borderId="408" xfId="0" applyNumberFormat="1" applyFont="1" applyFill="1" applyBorder="1" applyAlignment="1">
      <alignment vertical="center" wrapText="1"/>
    </xf>
    <xf numFmtId="0" fontId="298" fillId="23" borderId="287" xfId="0" applyFont="1" applyFill="1" applyBorder="1" applyAlignment="1">
      <alignment wrapText="1"/>
    </xf>
    <xf numFmtId="174" fontId="221" fillId="23" borderId="407" xfId="0" applyNumberFormat="1" applyFont="1" applyFill="1" applyBorder="1" applyAlignment="1">
      <alignment vertical="center" wrapText="1"/>
    </xf>
    <xf numFmtId="0" fontId="221" fillId="23" borderId="171" xfId="0" applyFont="1" applyFill="1" applyBorder="1" applyAlignment="1">
      <alignment wrapText="1"/>
    </xf>
    <xf numFmtId="166" fontId="221" fillId="23" borderId="408" xfId="0" applyNumberFormat="1" applyFont="1" applyFill="1" applyBorder="1" applyAlignment="1">
      <alignment vertical="center" wrapText="1"/>
    </xf>
    <xf numFmtId="0" fontId="221" fillId="23" borderId="287" xfId="0" applyFont="1" applyFill="1" applyBorder="1" applyAlignment="1">
      <alignment wrapText="1"/>
    </xf>
    <xf numFmtId="166" fontId="221" fillId="4" borderId="406" xfId="0" applyNumberFormat="1" applyFont="1" applyFill="1" applyBorder="1" applyAlignment="1">
      <alignment vertical="center" wrapText="1"/>
    </xf>
    <xf numFmtId="0" fontId="16" fillId="0" borderId="275" xfId="0" applyFont="1" applyBorder="1" applyAlignment="1">
      <alignment wrapText="1"/>
    </xf>
    <xf numFmtId="0" fontId="16" fillId="0" borderId="171" xfId="0" applyFont="1" applyBorder="1" applyAlignment="1">
      <alignment wrapText="1"/>
    </xf>
    <xf numFmtId="3" fontId="304" fillId="4" borderId="563" xfId="0" applyNumberFormat="1" applyFont="1" applyFill="1" applyBorder="1" applyAlignment="1">
      <alignment vertical="center" wrapText="1"/>
    </xf>
    <xf numFmtId="0" fontId="304" fillId="4" borderId="564" xfId="0" applyFont="1" applyFill="1" applyBorder="1" applyAlignment="1">
      <alignment vertical="center" wrapText="1"/>
    </xf>
    <xf numFmtId="174" fontId="304" fillId="4" borderId="565" xfId="0" applyNumberFormat="1" applyFont="1" applyFill="1" applyBorder="1" applyAlignment="1">
      <alignment vertical="center" wrapText="1"/>
    </xf>
    <xf numFmtId="0" fontId="304" fillId="4" borderId="566" xfId="0" applyFont="1" applyFill="1" applyBorder="1" applyAlignment="1">
      <alignment wrapText="1"/>
    </xf>
    <xf numFmtId="166" fontId="304" fillId="4" borderId="561" xfId="0" applyNumberFormat="1" applyFont="1" applyFill="1" applyBorder="1" applyAlignment="1">
      <alignment vertical="center" wrapText="1"/>
    </xf>
    <xf numFmtId="0" fontId="304" fillId="4" borderId="562" xfId="0" applyFont="1" applyFill="1" applyBorder="1" applyAlignment="1">
      <alignment wrapText="1"/>
    </xf>
    <xf numFmtId="0" fontId="16" fillId="0" borderId="438" xfId="0" applyFont="1" applyBorder="1" applyAlignment="1">
      <alignment wrapText="1"/>
    </xf>
    <xf numFmtId="174" fontId="220" fillId="23" borderId="407" xfId="0" applyNumberFormat="1" applyFont="1" applyFill="1" applyBorder="1" applyAlignment="1">
      <alignment vertical="center" wrapText="1"/>
    </xf>
    <xf numFmtId="0" fontId="0" fillId="23" borderId="227" xfId="0" applyFill="1" applyBorder="1" applyAlignment="1">
      <alignment wrapText="1"/>
    </xf>
    <xf numFmtId="0" fontId="300" fillId="22" borderId="171" xfId="0" applyFont="1" applyFill="1" applyBorder="1" applyAlignment="1">
      <alignment wrapText="1"/>
    </xf>
    <xf numFmtId="0" fontId="16" fillId="0" borderId="437" xfId="0" applyFont="1" applyBorder="1" applyAlignment="1">
      <alignment wrapText="1"/>
    </xf>
    <xf numFmtId="166" fontId="220" fillId="23" borderId="560" xfId="0" applyNumberFormat="1" applyFont="1" applyFill="1" applyBorder="1" applyAlignment="1">
      <alignment vertical="center" wrapText="1"/>
    </xf>
    <xf numFmtId="0" fontId="0" fillId="23" borderId="293" xfId="0" applyFill="1" applyBorder="1" applyAlignment="1">
      <alignment wrapText="1"/>
    </xf>
    <xf numFmtId="166" fontId="221" fillId="4" borderId="222" xfId="0" applyNumberFormat="1" applyFont="1" applyFill="1" applyBorder="1" applyAlignment="1">
      <alignment vertical="center" wrapText="1"/>
    </xf>
    <xf numFmtId="0" fontId="300" fillId="22" borderId="275" xfId="0" applyFont="1" applyFill="1" applyBorder="1" applyAlignment="1">
      <alignment wrapText="1"/>
    </xf>
    <xf numFmtId="0" fontId="16" fillId="0" borderId="439" xfId="0" applyFont="1" applyBorder="1" applyAlignment="1">
      <alignment wrapText="1"/>
    </xf>
    <xf numFmtId="0" fontId="0" fillId="23" borderId="172" xfId="0" applyFill="1" applyBorder="1" applyAlignment="1">
      <alignment wrapText="1"/>
    </xf>
    <xf numFmtId="49" fontId="221" fillId="4" borderId="197" xfId="0" applyNumberFormat="1" applyFont="1" applyFill="1" applyBorder="1" applyAlignment="1">
      <alignment vertical="center" wrapText="1"/>
    </xf>
    <xf numFmtId="0" fontId="16" fillId="0" borderId="216" xfId="0" applyFont="1" applyBorder="1" applyAlignment="1">
      <alignment wrapText="1"/>
    </xf>
    <xf numFmtId="0" fontId="0" fillId="22" borderId="216" xfId="0" applyFill="1" applyBorder="1" applyAlignment="1">
      <alignment wrapText="1"/>
    </xf>
    <xf numFmtId="174" fontId="304" fillId="4" borderId="567" xfId="0" applyNumberFormat="1" applyFont="1" applyFill="1" applyBorder="1" applyAlignment="1">
      <alignment vertical="center" wrapText="1"/>
    </xf>
    <xf numFmtId="0" fontId="304" fillId="4" borderId="569" xfId="0" applyFont="1" applyFill="1" applyBorder="1" applyAlignment="1">
      <alignment wrapText="1"/>
    </xf>
    <xf numFmtId="166" fontId="304" fillId="4" borderId="568" xfId="0" applyNumberFormat="1" applyFont="1" applyFill="1" applyBorder="1" applyAlignment="1">
      <alignment vertical="center" wrapText="1"/>
    </xf>
    <xf numFmtId="0" fontId="304" fillId="4" borderId="570" xfId="0" applyFont="1" applyFill="1" applyBorder="1" applyAlignment="1">
      <alignment wrapText="1"/>
    </xf>
    <xf numFmtId="0" fontId="16" fillId="0" borderId="438" xfId="0" applyFont="1" applyBorder="1" applyAlignment="1">
      <alignment vertical="center" wrapText="1"/>
    </xf>
    <xf numFmtId="0" fontId="0" fillId="0" borderId="437" xfId="0" applyBorder="1" applyAlignment="1">
      <alignment vertical="center" wrapText="1"/>
    </xf>
    <xf numFmtId="0" fontId="221" fillId="23" borderId="227" xfId="0" applyFont="1" applyFill="1" applyBorder="1" applyAlignment="1">
      <alignment wrapText="1"/>
    </xf>
    <xf numFmtId="0" fontId="221" fillId="23" borderId="82" xfId="0" applyFont="1" applyFill="1" applyBorder="1" applyAlignment="1">
      <alignment wrapText="1"/>
    </xf>
    <xf numFmtId="0" fontId="221" fillId="4" borderId="171" xfId="0" applyFont="1" applyFill="1" applyBorder="1" applyAlignment="1">
      <alignment wrapText="1"/>
    </xf>
    <xf numFmtId="0" fontId="221" fillId="4" borderId="287" xfId="0" applyFont="1" applyFill="1" applyBorder="1" applyAlignment="1">
      <alignment wrapText="1"/>
    </xf>
    <xf numFmtId="0" fontId="311" fillId="17" borderId="0" xfId="0" applyFont="1" applyFill="1" applyAlignment="1">
      <alignment horizontal="center" vertical="center" wrapText="1"/>
    </xf>
    <xf numFmtId="166" fontId="82" fillId="26" borderId="218" xfId="0" applyNumberFormat="1" applyFont="1" applyFill="1" applyBorder="1" applyAlignment="1">
      <alignment horizontal="center" vertical="center" wrapText="1"/>
    </xf>
    <xf numFmtId="0" fontId="81" fillId="26" borderId="216" xfId="0" applyFont="1" applyFill="1" applyBorder="1" applyAlignment="1"/>
    <xf numFmtId="177" fontId="82" fillId="26" borderId="218" xfId="0" applyNumberFormat="1" applyFont="1" applyFill="1" applyBorder="1" applyAlignment="1">
      <alignment horizontal="center" vertical="center" wrapText="1"/>
    </xf>
    <xf numFmtId="177" fontId="81" fillId="26" borderId="216" xfId="0" applyNumberFormat="1" applyFont="1" applyFill="1" applyBorder="1" applyAlignment="1"/>
    <xf numFmtId="166" fontId="166" fillId="18" borderId="218" xfId="0" applyNumberFormat="1" applyFont="1" applyFill="1" applyBorder="1" applyAlignment="1">
      <alignment horizontal="center" vertical="center" wrapText="1"/>
    </xf>
    <xf numFmtId="0" fontId="81" fillId="18" borderId="216" xfId="0" applyFont="1" applyFill="1" applyBorder="1" applyAlignment="1">
      <alignment wrapText="1"/>
    </xf>
    <xf numFmtId="3" fontId="84" fillId="18" borderId="249" xfId="0" applyNumberFormat="1" applyFont="1" applyFill="1" applyBorder="1" applyAlignment="1" applyProtection="1">
      <alignment vertical="center" wrapText="1"/>
      <protection hidden="1"/>
    </xf>
    <xf numFmtId="3" fontId="84" fillId="18" borderId="20" xfId="0" applyNumberFormat="1" applyFont="1" applyFill="1" applyBorder="1" applyAlignment="1" applyProtection="1">
      <alignment vertical="center" wrapText="1"/>
      <protection hidden="1"/>
    </xf>
    <xf numFmtId="0" fontId="84" fillId="26" borderId="218" xfId="0" applyFont="1" applyFill="1" applyBorder="1" applyAlignment="1">
      <alignment vertical="center" wrapText="1"/>
    </xf>
    <xf numFmtId="0" fontId="87" fillId="26" borderId="216" xfId="0" applyFont="1" applyFill="1" applyBorder="1" applyAlignment="1"/>
    <xf numFmtId="0" fontId="82" fillId="26" borderId="218" xfId="0" applyFont="1" applyFill="1" applyBorder="1" applyAlignment="1">
      <alignment vertical="center" wrapText="1"/>
    </xf>
    <xf numFmtId="3" fontId="84" fillId="18" borderId="218" xfId="0" applyNumberFormat="1" applyFont="1" applyFill="1" applyBorder="1" applyAlignment="1" applyProtection="1">
      <alignment vertical="center" wrapText="1"/>
      <protection hidden="1"/>
    </xf>
    <xf numFmtId="0" fontId="0" fillId="18" borderId="216" xfId="0" applyFill="1" applyBorder="1" applyAlignment="1">
      <alignment vertical="center" wrapText="1"/>
    </xf>
    <xf numFmtId="166" fontId="82" fillId="18" borderId="218" xfId="0" applyNumberFormat="1" applyFont="1" applyFill="1" applyBorder="1" applyAlignment="1">
      <alignment horizontal="center" vertical="center" wrapText="1"/>
    </xf>
    <xf numFmtId="0" fontId="0" fillId="18" borderId="216" xfId="0" applyFill="1" applyBorder="1" applyAlignment="1">
      <alignment wrapText="1"/>
    </xf>
    <xf numFmtId="182" fontId="82" fillId="35" borderId="218" xfId="0" applyNumberFormat="1" applyFont="1" applyFill="1" applyBorder="1" applyAlignment="1">
      <alignment horizontal="center" vertical="center" wrapText="1"/>
    </xf>
    <xf numFmtId="0" fontId="0" fillId="35" borderId="216" xfId="0" applyFont="1" applyFill="1" applyBorder="1" applyAlignment="1">
      <alignment wrapText="1"/>
    </xf>
    <xf numFmtId="0" fontId="81" fillId="26" borderId="216" xfId="0" applyFont="1" applyFill="1" applyBorder="1" applyAlignment="1">
      <alignment vertical="center" wrapText="1"/>
    </xf>
    <xf numFmtId="0" fontId="86" fillId="35" borderId="249" xfId="0" applyFont="1" applyFill="1" applyBorder="1" applyAlignment="1">
      <alignment vertical="center" wrapText="1"/>
    </xf>
    <xf numFmtId="0" fontId="81" fillId="35" borderId="20" xfId="0" applyFont="1" applyFill="1" applyBorder="1" applyAlignment="1">
      <alignment vertical="center" wrapText="1"/>
    </xf>
    <xf numFmtId="0" fontId="82" fillId="35" borderId="249" xfId="0" applyFont="1" applyFill="1" applyBorder="1" applyAlignment="1">
      <alignment vertical="center" wrapText="1"/>
    </xf>
    <xf numFmtId="0" fontId="82" fillId="34" borderId="249" xfId="0" applyFont="1" applyFill="1" applyBorder="1" applyAlignment="1">
      <alignment vertical="center" wrapText="1"/>
    </xf>
    <xf numFmtId="0" fontId="0" fillId="34" borderId="20" xfId="0" applyFill="1" applyBorder="1" applyAlignment="1">
      <alignment vertical="center" wrapText="1"/>
    </xf>
    <xf numFmtId="0" fontId="81" fillId="26" borderId="216" xfId="0" applyFont="1" applyFill="1" applyBorder="1" applyAlignment="1">
      <alignment wrapText="1"/>
    </xf>
    <xf numFmtId="0" fontId="0" fillId="35" borderId="216" xfId="0" applyFont="1" applyFill="1" applyBorder="1" applyAlignment="1">
      <alignment horizontal="center" vertical="center" wrapText="1"/>
    </xf>
    <xf numFmtId="2" fontId="82" fillId="35" borderId="218" xfId="0" applyNumberFormat="1" applyFont="1" applyFill="1" applyBorder="1" applyAlignment="1">
      <alignment horizontal="center" vertical="center" wrapText="1"/>
    </xf>
    <xf numFmtId="0" fontId="81" fillId="35" borderId="216" xfId="0" applyFont="1" applyFill="1" applyBorder="1" applyAlignment="1">
      <alignment wrapText="1"/>
    </xf>
    <xf numFmtId="4" fontId="82" fillId="34" borderId="249" xfId="0" applyNumberFormat="1" applyFont="1" applyFill="1" applyBorder="1" applyAlignment="1">
      <alignment horizontal="right" vertical="center" wrapText="1"/>
    </xf>
    <xf numFmtId="0" fontId="81" fillId="34" borderId="20" xfId="0" applyFont="1" applyFill="1" applyBorder="1" applyAlignment="1">
      <alignment horizontal="right" vertical="center" wrapText="1"/>
    </xf>
    <xf numFmtId="0" fontId="82" fillId="34" borderId="584" xfId="0" applyFont="1" applyFill="1" applyBorder="1" applyAlignment="1">
      <alignment horizontal="left" vertical="center" wrapText="1"/>
    </xf>
    <xf numFmtId="0" fontId="81" fillId="34" borderId="586" xfId="0" applyFont="1" applyFill="1" applyBorder="1" applyAlignment="1">
      <alignment horizontal="left" vertical="center" wrapText="1"/>
    </xf>
    <xf numFmtId="166" fontId="308" fillId="25" borderId="579" xfId="5" applyNumberFormat="1" applyFont="1" applyFill="1" applyBorder="1" applyAlignment="1">
      <alignment horizontal="center" vertical="center" wrapText="1"/>
    </xf>
    <xf numFmtId="166" fontId="309" fillId="25" borderId="558" xfId="0" applyNumberFormat="1" applyFont="1" applyFill="1" applyBorder="1" applyAlignment="1">
      <alignment vertical="center" wrapText="1"/>
    </xf>
    <xf numFmtId="166" fontId="308" fillId="31" borderId="197" xfId="5" applyNumberFormat="1" applyFont="1" applyFill="1" applyBorder="1" applyAlignment="1">
      <alignment horizontal="center" vertical="center" wrapText="1"/>
    </xf>
    <xf numFmtId="166" fontId="309" fillId="31" borderId="216" xfId="0" applyNumberFormat="1" applyFont="1" applyFill="1" applyBorder="1" applyAlignment="1">
      <alignment vertical="center" wrapText="1"/>
    </xf>
    <xf numFmtId="166" fontId="82" fillId="26" borderId="197" xfId="5" applyNumberFormat="1" applyFont="1" applyFill="1" applyBorder="1" applyAlignment="1">
      <alignment horizontal="center" vertical="center" wrapText="1"/>
    </xf>
    <xf numFmtId="0" fontId="0" fillId="0" borderId="191" xfId="0" applyBorder="1" applyAlignment="1">
      <alignment vertical="center" wrapText="1"/>
    </xf>
    <xf numFmtId="166" fontId="308" fillId="26" borderId="197" xfId="5" applyNumberFormat="1" applyFont="1" applyFill="1" applyBorder="1" applyAlignment="1">
      <alignment horizontal="center" vertical="center" wrapText="1"/>
    </xf>
    <xf numFmtId="166" fontId="309" fillId="26" borderId="558" xfId="0" applyNumberFormat="1" applyFont="1" applyFill="1" applyBorder="1" applyAlignment="1">
      <alignment vertical="center" wrapText="1"/>
    </xf>
    <xf numFmtId="9" fontId="82" fillId="30" borderId="579" xfId="5" applyFont="1" applyFill="1" applyBorder="1" applyAlignment="1">
      <alignment horizontal="center" vertical="center" wrapText="1"/>
    </xf>
    <xf numFmtId="0" fontId="0" fillId="0" borderId="558" xfId="0" applyBorder="1" applyAlignment="1">
      <alignment vertical="center" wrapText="1"/>
    </xf>
    <xf numFmtId="166" fontId="82" fillId="30" borderId="558" xfId="0" applyNumberFormat="1" applyFont="1" applyFill="1" applyBorder="1" applyAlignment="1">
      <alignment horizontal="center" vertical="center" wrapText="1"/>
    </xf>
    <xf numFmtId="0" fontId="4" fillId="0" borderId="558" xfId="0" applyFont="1" applyBorder="1" applyAlignment="1">
      <alignment wrapText="1"/>
    </xf>
    <xf numFmtId="166" fontId="82" fillId="31" borderId="197" xfId="5" applyNumberFormat="1" applyFont="1" applyFill="1" applyBorder="1" applyAlignment="1">
      <alignment horizontal="center" vertical="center" wrapText="1"/>
    </xf>
    <xf numFmtId="166" fontId="81" fillId="31" borderId="216" xfId="0" applyNumberFormat="1" applyFont="1" applyFill="1" applyBorder="1" applyAlignment="1">
      <alignment vertical="center" wrapText="1"/>
    </xf>
    <xf numFmtId="9" fontId="82" fillId="30" borderId="558" xfId="5" applyFont="1" applyFill="1" applyBorder="1" applyAlignment="1">
      <alignment horizontal="center" vertical="center" wrapText="1"/>
    </xf>
    <xf numFmtId="166" fontId="82" fillId="25" borderId="579" xfId="5" applyNumberFormat="1" applyFont="1" applyFill="1" applyBorder="1" applyAlignment="1">
      <alignment horizontal="center" vertical="center" wrapText="1"/>
    </xf>
    <xf numFmtId="166" fontId="81" fillId="25" borderId="172" xfId="0" applyNumberFormat="1" applyFont="1" applyFill="1" applyBorder="1" applyAlignment="1">
      <alignment vertical="center" wrapText="1"/>
    </xf>
    <xf numFmtId="0" fontId="312" fillId="0" borderId="0" xfId="0" applyFont="1" applyAlignment="1">
      <alignment vertical="center" wrapText="1"/>
    </xf>
    <xf numFmtId="0" fontId="317" fillId="27" borderId="103" xfId="0" applyFont="1" applyFill="1" applyBorder="1" applyAlignment="1">
      <alignment horizontal="left" vertical="center" wrapText="1"/>
    </xf>
    <xf numFmtId="0" fontId="314" fillId="27" borderId="103" xfId="0" applyFont="1" applyFill="1" applyBorder="1" applyAlignment="1">
      <alignment horizontal="left" vertical="center" wrapText="1"/>
    </xf>
    <xf numFmtId="0" fontId="81" fillId="18" borderId="103" xfId="0" applyFont="1" applyFill="1" applyBorder="1" applyAlignment="1">
      <alignment vertical="center" wrapText="1"/>
    </xf>
    <xf numFmtId="0" fontId="82" fillId="32" borderId="79" xfId="0" applyFont="1" applyFill="1" applyBorder="1" applyAlignment="1">
      <alignment vertical="center" wrapText="1"/>
    </xf>
    <xf numFmtId="0" fontId="81" fillId="32" borderId="103" xfId="0" applyFont="1" applyFill="1" applyBorder="1" applyAlignment="1">
      <alignment vertical="center" wrapText="1"/>
    </xf>
    <xf numFmtId="0" fontId="82" fillId="26" borderId="103" xfId="0" applyFont="1" applyFill="1" applyBorder="1" applyAlignment="1">
      <alignment vertical="center" wrapText="1"/>
    </xf>
    <xf numFmtId="0" fontId="81" fillId="26" borderId="103" xfId="0" applyFont="1" applyFill="1" applyBorder="1" applyAlignment="1">
      <alignment vertical="center" wrapText="1"/>
    </xf>
    <xf numFmtId="166" fontId="308" fillId="18" borderId="218" xfId="5" applyNumberFormat="1" applyFont="1" applyFill="1" applyBorder="1" applyAlignment="1">
      <alignment horizontal="center" vertical="center" wrapText="1"/>
    </xf>
    <xf numFmtId="166" fontId="308" fillId="18" borderId="172" xfId="5" applyNumberFormat="1" applyFont="1" applyFill="1" applyBorder="1" applyAlignment="1">
      <alignment horizontal="center" vertical="center" wrapText="1"/>
    </xf>
    <xf numFmtId="166" fontId="309" fillId="18" borderId="558" xfId="0" applyNumberFormat="1" applyFont="1" applyFill="1" applyBorder="1" applyAlignment="1">
      <alignment vertical="center" wrapText="1"/>
    </xf>
    <xf numFmtId="166" fontId="82" fillId="18" borderId="558" xfId="5" applyNumberFormat="1" applyFont="1" applyFill="1" applyBorder="1" applyAlignment="1">
      <alignment horizontal="center" vertical="center" wrapText="1"/>
    </xf>
    <xf numFmtId="166" fontId="81" fillId="18" borderId="558" xfId="0" applyNumberFormat="1" applyFont="1" applyFill="1" applyBorder="1" applyAlignment="1">
      <alignment vertical="center" wrapText="1"/>
    </xf>
    <xf numFmtId="0" fontId="84" fillId="21" borderId="477" xfId="0" applyFont="1" applyFill="1" applyBorder="1" applyAlignment="1">
      <alignment horizontal="center" vertical="center" wrapText="1"/>
    </xf>
    <xf numFmtId="0" fontId="87" fillId="21" borderId="476" xfId="0" applyFont="1" applyFill="1" applyBorder="1" applyAlignment="1">
      <alignment horizontal="center" vertical="center" wrapText="1"/>
    </xf>
    <xf numFmtId="0" fontId="84" fillId="21" borderId="465" xfId="0" applyFont="1" applyFill="1" applyBorder="1" applyAlignment="1">
      <alignment horizontal="center" vertical="center" wrapText="1"/>
    </xf>
    <xf numFmtId="0" fontId="87" fillId="21" borderId="574" xfId="0" applyFont="1" applyFill="1" applyBorder="1" applyAlignment="1">
      <alignment horizontal="center" vertical="center" wrapText="1"/>
    </xf>
    <xf numFmtId="182" fontId="82" fillId="32" borderId="165" xfId="0" applyNumberFormat="1" applyFont="1" applyFill="1" applyBorder="1" applyAlignment="1">
      <alignment horizontal="center" vertical="center" wrapText="1"/>
    </xf>
    <xf numFmtId="182" fontId="82" fillId="32" borderId="559" xfId="0" applyNumberFormat="1" applyFont="1" applyFill="1" applyBorder="1" applyAlignment="1">
      <alignment horizontal="center" vertical="center" wrapText="1"/>
    </xf>
    <xf numFmtId="9" fontId="315" fillId="32" borderId="581" xfId="0" applyNumberFormat="1" applyFont="1" applyFill="1" applyBorder="1" applyAlignment="1">
      <alignment horizontal="center" vertical="center" wrapText="1"/>
    </xf>
    <xf numFmtId="9" fontId="315" fillId="32" borderId="70" xfId="0" applyNumberFormat="1" applyFont="1" applyFill="1" applyBorder="1" applyAlignment="1">
      <alignment horizontal="center" vertical="center" wrapText="1"/>
    </xf>
    <xf numFmtId="166" fontId="166" fillId="27" borderId="76" xfId="0" applyNumberFormat="1" applyFont="1" applyFill="1" applyBorder="1" applyAlignment="1">
      <alignment horizontal="center" vertical="center" wrapText="1"/>
    </xf>
    <xf numFmtId="0" fontId="0" fillId="27" borderId="78" xfId="0" applyFont="1" applyFill="1" applyBorder="1" applyAlignment="1">
      <alignment wrapText="1"/>
    </xf>
    <xf numFmtId="0" fontId="0" fillId="27" borderId="81" xfId="0" applyFont="1" applyFill="1" applyBorder="1" applyAlignment="1">
      <alignment wrapText="1"/>
    </xf>
    <xf numFmtId="0" fontId="0" fillId="27" borderId="82" xfId="0" applyFont="1" applyFill="1" applyBorder="1" applyAlignment="1">
      <alignment wrapText="1"/>
    </xf>
    <xf numFmtId="182" fontId="82" fillId="18" borderId="559" xfId="0" applyNumberFormat="1" applyFont="1" applyFill="1" applyBorder="1" applyAlignment="1">
      <alignment horizontal="center" vertical="center" wrapText="1"/>
    </xf>
    <xf numFmtId="0" fontId="0" fillId="18" borderId="559" xfId="0" applyFont="1" applyFill="1" applyBorder="1" applyAlignment="1">
      <alignment wrapText="1"/>
    </xf>
    <xf numFmtId="9" fontId="315" fillId="18" borderId="70" xfId="0" applyNumberFormat="1" applyFont="1" applyFill="1" applyBorder="1" applyAlignment="1">
      <alignment horizontal="center" vertical="center" wrapText="1"/>
    </xf>
    <xf numFmtId="0" fontId="316" fillId="18" borderId="70" xfId="0" applyFont="1" applyFill="1" applyBorder="1" applyAlignment="1">
      <alignment wrapText="1"/>
    </xf>
    <xf numFmtId="0" fontId="81" fillId="22" borderId="573" xfId="0" applyFont="1" applyFill="1" applyBorder="1" applyAlignment="1">
      <alignment horizontal="left" vertical="center" wrapText="1"/>
    </xf>
    <xf numFmtId="0" fontId="81" fillId="22" borderId="109" xfId="0" applyFont="1" applyFill="1" applyBorder="1" applyAlignment="1">
      <alignment horizontal="left" vertical="center" wrapText="1"/>
    </xf>
    <xf numFmtId="0" fontId="82" fillId="8" borderId="79" xfId="0" applyFont="1" applyFill="1" applyBorder="1" applyAlignment="1">
      <alignment vertical="center" wrapText="1"/>
    </xf>
    <xf numFmtId="0" fontId="81" fillId="0" borderId="109" xfId="0" applyFont="1" applyBorder="1" applyAlignment="1">
      <alignment wrapText="1"/>
    </xf>
    <xf numFmtId="182" fontId="82" fillId="29" borderId="559" xfId="0" applyNumberFormat="1" applyFont="1" applyFill="1" applyBorder="1" applyAlignment="1">
      <alignment horizontal="center" vertical="center" wrapText="1"/>
    </xf>
    <xf numFmtId="9" fontId="315" fillId="29" borderId="70" xfId="0" applyNumberFormat="1" applyFont="1" applyFill="1" applyBorder="1" applyAlignment="1">
      <alignment horizontal="center" vertical="center" wrapText="1"/>
    </xf>
    <xf numFmtId="182" fontId="82" fillId="22" borderId="582" xfId="0" applyNumberFormat="1" applyFont="1" applyFill="1" applyBorder="1" applyAlignment="1">
      <alignment horizontal="center" vertical="center" wrapText="1"/>
    </xf>
    <xf numFmtId="182" fontId="82" fillId="22" borderId="171" xfId="0" applyNumberFormat="1" applyFont="1" applyFill="1" applyBorder="1" applyAlignment="1">
      <alignment horizontal="center" vertical="center" wrapText="1"/>
    </xf>
    <xf numFmtId="9" fontId="315" fillId="22" borderId="574" xfId="0" applyNumberFormat="1" applyFont="1" applyFill="1" applyBorder="1" applyAlignment="1">
      <alignment horizontal="center" vertical="center" wrapText="1"/>
    </xf>
    <xf numFmtId="9" fontId="315" fillId="22" borderId="287" xfId="0" applyNumberFormat="1" applyFont="1" applyFill="1" applyBorder="1" applyAlignment="1">
      <alignment horizontal="center" vertical="center" wrapText="1"/>
    </xf>
    <xf numFmtId="0" fontId="0" fillId="18" borderId="559" xfId="0" applyFill="1" applyBorder="1" applyAlignment="1">
      <alignment wrapText="1"/>
    </xf>
    <xf numFmtId="182" fontId="82" fillId="26" borderId="224" xfId="0" applyNumberFormat="1" applyFont="1" applyFill="1" applyBorder="1" applyAlignment="1">
      <alignment horizontal="center" vertical="center" wrapText="1"/>
    </xf>
    <xf numFmtId="0" fontId="0" fillId="26" borderId="227" xfId="0" applyFill="1" applyBorder="1" applyAlignment="1">
      <alignment wrapText="1"/>
    </xf>
    <xf numFmtId="0" fontId="86" fillId="29" borderId="103" xfId="0" applyFont="1" applyFill="1" applyBorder="1" applyAlignment="1">
      <alignment horizontal="left" vertical="center" wrapText="1"/>
    </xf>
    <xf numFmtId="0" fontId="81" fillId="29" borderId="197" xfId="0" applyFont="1" applyFill="1" applyBorder="1" applyAlignment="1">
      <alignment horizontal="left" vertical="center" wrapText="1"/>
    </xf>
    <xf numFmtId="9" fontId="315" fillId="26" borderId="78" xfId="0" applyNumberFormat="1" applyFont="1" applyFill="1" applyBorder="1" applyAlignment="1">
      <alignment horizontal="center" vertical="center" wrapText="1"/>
    </xf>
    <xf numFmtId="0" fontId="316" fillId="26" borderId="82" xfId="0" applyFont="1" applyFill="1" applyBorder="1" applyAlignment="1">
      <alignment wrapText="1"/>
    </xf>
    <xf numFmtId="9" fontId="315" fillId="8" borderId="581" xfId="0" applyNumberFormat="1" applyFont="1" applyFill="1" applyBorder="1" applyAlignment="1">
      <alignment horizontal="center" vertical="center" wrapText="1"/>
    </xf>
    <xf numFmtId="0" fontId="316" fillId="0" borderId="287" xfId="0" applyFont="1" applyBorder="1" applyAlignment="1">
      <alignment wrapText="1"/>
    </xf>
    <xf numFmtId="182" fontId="82" fillId="8" borderId="165" xfId="0" applyNumberFormat="1" applyFont="1" applyFill="1" applyBorder="1" applyAlignment="1">
      <alignment horizontal="center" vertical="center" wrapText="1"/>
    </xf>
    <xf numFmtId="0" fontId="0" fillId="0" borderId="171" xfId="0" applyBorder="1" applyAlignment="1">
      <alignment wrapText="1"/>
    </xf>
    <xf numFmtId="0" fontId="0" fillId="18" borderId="70" xfId="0" applyFill="1" applyBorder="1" applyAlignment="1">
      <alignment wrapText="1"/>
    </xf>
    <xf numFmtId="0" fontId="0" fillId="26" borderId="82" xfId="0" applyFill="1" applyBorder="1" applyAlignment="1">
      <alignment wrapText="1"/>
    </xf>
    <xf numFmtId="0" fontId="0" fillId="0" borderId="287" xfId="0" applyBorder="1" applyAlignment="1">
      <alignment wrapText="1"/>
    </xf>
    <xf numFmtId="0" fontId="0" fillId="0" borderId="171" xfId="0" applyFont="1" applyBorder="1" applyAlignment="1">
      <alignment wrapText="1"/>
    </xf>
    <xf numFmtId="0" fontId="0" fillId="26" borderId="227" xfId="0" applyFont="1" applyFill="1" applyBorder="1" applyAlignment="1">
      <alignment wrapText="1"/>
    </xf>
    <xf numFmtId="0" fontId="32" fillId="8" borderId="0" xfId="0" applyFont="1" applyFill="1" applyBorder="1" applyAlignment="1">
      <alignment horizontal="center" vertical="center" wrapText="1"/>
    </xf>
    <xf numFmtId="0" fontId="32" fillId="18" borderId="189" xfId="0" applyFont="1" applyFill="1" applyBorder="1" applyAlignment="1">
      <alignment horizontal="center"/>
    </xf>
    <xf numFmtId="174" fontId="220" fillId="4" borderId="165" xfId="0" applyNumberFormat="1" applyFont="1" applyFill="1" applyBorder="1" applyAlignment="1">
      <alignment vertical="center" wrapText="1"/>
    </xf>
    <xf numFmtId="0" fontId="220" fillId="4" borderId="167" xfId="0" applyFont="1" applyFill="1" applyBorder="1" applyAlignment="1">
      <alignment wrapText="1"/>
    </xf>
    <xf numFmtId="166" fontId="220" fillId="4" borderId="56" xfId="0" applyNumberFormat="1" applyFont="1" applyFill="1" applyBorder="1" applyAlignment="1">
      <alignment vertical="center" wrapText="1"/>
    </xf>
    <xf numFmtId="0" fontId="220" fillId="4" borderId="70" xfId="0" applyFont="1" applyFill="1" applyBorder="1" applyAlignment="1">
      <alignment wrapText="1"/>
    </xf>
    <xf numFmtId="174" fontId="220" fillId="4" borderId="224" xfId="0" applyNumberFormat="1" applyFont="1" applyFill="1" applyBorder="1" applyAlignment="1">
      <alignment vertical="center" wrapText="1"/>
    </xf>
    <xf numFmtId="166" fontId="220" fillId="4" borderId="78" xfId="0" applyNumberFormat="1" applyFont="1" applyFill="1" applyBorder="1" applyAlignment="1">
      <alignment vertical="center" wrapText="1"/>
    </xf>
    <xf numFmtId="166" fontId="220" fillId="4" borderId="70" xfId="0" applyNumberFormat="1" applyFont="1" applyFill="1" applyBorder="1" applyAlignment="1">
      <alignment vertical="center" wrapText="1"/>
    </xf>
    <xf numFmtId="174" fontId="32" fillId="18" borderId="407" xfId="0" applyNumberFormat="1" applyFont="1" applyFill="1" applyBorder="1" applyAlignment="1">
      <alignment vertical="center" wrapText="1"/>
    </xf>
    <xf numFmtId="0" fontId="0" fillId="18" borderId="171" xfId="0" applyFill="1" applyBorder="1" applyAlignment="1">
      <alignment wrapText="1"/>
    </xf>
    <xf numFmtId="166" fontId="32" fillId="18" borderId="408" xfId="0" applyNumberFormat="1" applyFont="1" applyFill="1" applyBorder="1" applyAlignment="1">
      <alignment vertical="center" wrapText="1"/>
    </xf>
    <xf numFmtId="0" fontId="0" fillId="18" borderId="287" xfId="0" applyFill="1" applyBorder="1" applyAlignment="1">
      <alignment wrapText="1"/>
    </xf>
    <xf numFmtId="174" fontId="220" fillId="4" borderId="167" xfId="0" applyNumberFormat="1" applyFont="1" applyFill="1" applyBorder="1" applyAlignment="1">
      <alignment vertical="center" wrapText="1"/>
    </xf>
    <xf numFmtId="0" fontId="220" fillId="4" borderId="227" xfId="0" applyFont="1" applyFill="1" applyBorder="1" applyAlignment="1">
      <alignment wrapText="1"/>
    </xf>
    <xf numFmtId="0" fontId="220" fillId="4" borderId="82" xfId="0" applyFont="1" applyFill="1" applyBorder="1" applyAlignment="1">
      <alignment wrapText="1"/>
    </xf>
    <xf numFmtId="0" fontId="32" fillId="23" borderId="189" xfId="0" applyFont="1" applyFill="1" applyBorder="1" applyAlignment="1">
      <alignment horizontal="center"/>
    </xf>
    <xf numFmtId="0" fontId="32" fillId="23" borderId="152" xfId="0" applyFont="1" applyFill="1" applyBorder="1" applyAlignment="1">
      <alignment horizontal="center"/>
    </xf>
    <xf numFmtId="1" fontId="32" fillId="18" borderId="280" xfId="0" applyNumberFormat="1" applyFont="1" applyFill="1" applyBorder="1" applyAlignment="1" applyProtection="1">
      <alignment horizontal="center" vertical="center" wrapText="1"/>
      <protection hidden="1"/>
    </xf>
    <xf numFmtId="1" fontId="32" fillId="18" borderId="216" xfId="0" applyNumberFormat="1" applyFont="1" applyFill="1" applyBorder="1" applyAlignment="1" applyProtection="1">
      <alignment horizontal="center" vertical="center" wrapText="1"/>
      <protection hidden="1"/>
    </xf>
    <xf numFmtId="1" fontId="32" fillId="18" borderId="45" xfId="0" applyNumberFormat="1" applyFont="1" applyFill="1" applyBorder="1" applyAlignment="1" applyProtection="1">
      <alignment horizontal="center" vertical="center" wrapText="1"/>
      <protection hidden="1"/>
    </xf>
    <xf numFmtId="1" fontId="32" fillId="18" borderId="405" xfId="0" applyNumberFormat="1" applyFont="1" applyFill="1" applyBorder="1" applyAlignment="1" applyProtection="1">
      <alignment horizontal="center" vertical="center" wrapText="1"/>
      <protection hidden="1"/>
    </xf>
    <xf numFmtId="0" fontId="49" fillId="0" borderId="0" xfId="0" applyFont="1" applyFill="1" applyBorder="1" applyAlignment="1" applyProtection="1">
      <alignment wrapText="1"/>
    </xf>
    <xf numFmtId="0" fontId="70" fillId="0" borderId="0" xfId="0" applyFont="1" applyAlignment="1">
      <alignment wrapText="1"/>
    </xf>
    <xf numFmtId="3" fontId="32" fillId="18" borderId="46" xfId="0" applyNumberFormat="1" applyFont="1" applyFill="1" applyBorder="1" applyAlignment="1" applyProtection="1">
      <alignment horizontal="left" vertical="center" wrapText="1"/>
      <protection hidden="1"/>
    </xf>
    <xf numFmtId="0" fontId="37" fillId="18" borderId="19" xfId="0" applyFont="1" applyFill="1" applyBorder="1" applyAlignment="1">
      <alignment wrapText="1"/>
    </xf>
    <xf numFmtId="0" fontId="37" fillId="18" borderId="389" xfId="0" applyFont="1" applyFill="1" applyBorder="1" applyAlignment="1">
      <alignment wrapText="1"/>
    </xf>
    <xf numFmtId="0" fontId="37" fillId="18" borderId="125" xfId="0" applyFont="1" applyFill="1" applyBorder="1" applyAlignment="1">
      <alignment wrapText="1"/>
    </xf>
    <xf numFmtId="0" fontId="37" fillId="18" borderId="225" xfId="0" applyFont="1" applyFill="1" applyBorder="1" applyAlignment="1">
      <alignment wrapText="1"/>
    </xf>
    <xf numFmtId="0" fontId="37" fillId="18" borderId="287" xfId="0" applyFont="1" applyFill="1" applyBorder="1" applyAlignment="1">
      <alignment wrapText="1"/>
    </xf>
    <xf numFmtId="3" fontId="164" fillId="8" borderId="254" xfId="0" applyNumberFormat="1" applyFont="1" applyFill="1" applyBorder="1" applyAlignment="1" applyProtection="1">
      <alignment horizontal="left" vertical="top" wrapText="1"/>
    </xf>
    <xf numFmtId="0" fontId="162" fillId="8" borderId="89" xfId="0" applyFont="1" applyFill="1" applyBorder="1" applyAlignment="1">
      <alignment wrapText="1"/>
    </xf>
    <xf numFmtId="3" fontId="32" fillId="0" borderId="14" xfId="0" applyNumberFormat="1" applyFont="1" applyFill="1" applyBorder="1" applyAlignment="1" applyProtection="1">
      <alignment horizontal="left" vertical="top" wrapText="1"/>
    </xf>
    <xf numFmtId="0" fontId="37" fillId="0" borderId="22" xfId="0" applyFont="1" applyFill="1" applyBorder="1" applyAlignment="1">
      <alignment wrapText="1"/>
    </xf>
    <xf numFmtId="3" fontId="32" fillId="0" borderId="238" xfId="0" applyNumberFormat="1" applyFont="1" applyFill="1" applyBorder="1" applyAlignment="1" applyProtection="1">
      <alignment horizontal="left" vertical="top" wrapText="1"/>
    </xf>
    <xf numFmtId="0" fontId="37" fillId="0" borderId="121" xfId="0" applyFont="1" applyFill="1" applyBorder="1" applyAlignment="1">
      <alignment wrapText="1"/>
    </xf>
    <xf numFmtId="0" fontId="37" fillId="0" borderId="122" xfId="0" applyFont="1" applyBorder="1" applyAlignment="1"/>
    <xf numFmtId="3" fontId="164" fillId="3" borderId="254" xfId="0" applyNumberFormat="1" applyFont="1" applyFill="1" applyBorder="1" applyAlignment="1" applyProtection="1">
      <alignment horizontal="left" vertical="top" wrapText="1"/>
    </xf>
    <xf numFmtId="0" fontId="162" fillId="3" borderId="89" xfId="0" applyFont="1" applyFill="1" applyBorder="1" applyAlignment="1">
      <alignment wrapText="1"/>
    </xf>
    <xf numFmtId="3" fontId="32" fillId="0" borderId="254" xfId="0" applyNumberFormat="1" applyFont="1" applyFill="1" applyBorder="1" applyAlignment="1" applyProtection="1">
      <alignment horizontal="left" vertical="top" wrapText="1"/>
    </xf>
    <xf numFmtId="0" fontId="37" fillId="0" borderId="89" xfId="0" applyFont="1" applyFill="1" applyBorder="1" applyAlignment="1">
      <alignment wrapText="1"/>
    </xf>
    <xf numFmtId="3" fontId="32" fillId="0" borderId="245" xfId="0" applyNumberFormat="1" applyFont="1" applyFill="1" applyBorder="1" applyAlignment="1" applyProtection="1">
      <alignment horizontal="left" vertical="top" wrapText="1"/>
    </xf>
    <xf numFmtId="0" fontId="37" fillId="0" borderId="71" xfId="0" applyFont="1" applyFill="1" applyBorder="1" applyAlignment="1">
      <alignment wrapText="1"/>
    </xf>
    <xf numFmtId="166" fontId="196" fillId="4" borderId="78" xfId="0" applyNumberFormat="1" applyFont="1" applyFill="1" applyBorder="1" applyAlignment="1">
      <alignment vertical="center" wrapText="1"/>
    </xf>
    <xf numFmtId="0" fontId="196" fillId="4" borderId="70" xfId="0" applyFont="1" applyFill="1" applyBorder="1" applyAlignment="1">
      <alignment wrapText="1"/>
    </xf>
    <xf numFmtId="166" fontId="221" fillId="18" borderId="56" xfId="0" applyNumberFormat="1" applyFont="1" applyFill="1" applyBorder="1" applyAlignment="1">
      <alignment vertical="center" wrapText="1"/>
    </xf>
    <xf numFmtId="0" fontId="221" fillId="18" borderId="287" xfId="0" applyFont="1" applyFill="1" applyBorder="1" applyAlignment="1">
      <alignment wrapText="1"/>
    </xf>
    <xf numFmtId="166" fontId="222" fillId="4" borderId="70" xfId="0" applyNumberFormat="1" applyFont="1" applyFill="1" applyBorder="1" applyAlignment="1">
      <alignment vertical="center" wrapText="1"/>
    </xf>
    <xf numFmtId="0" fontId="222" fillId="4" borderId="70" xfId="0" applyFont="1" applyFill="1" applyBorder="1" applyAlignment="1">
      <alignment wrapText="1"/>
    </xf>
    <xf numFmtId="166" fontId="196" fillId="4" borderId="56" xfId="0" applyNumberFormat="1" applyFont="1" applyFill="1" applyBorder="1" applyAlignment="1">
      <alignment vertical="center" wrapText="1"/>
    </xf>
    <xf numFmtId="174" fontId="221" fillId="18" borderId="165" xfId="0" applyNumberFormat="1" applyFont="1" applyFill="1" applyBorder="1" applyAlignment="1">
      <alignment vertical="center" wrapText="1"/>
    </xf>
    <xf numFmtId="0" fontId="221" fillId="18" borderId="171" xfId="0" applyFont="1" applyFill="1" applyBorder="1" applyAlignment="1">
      <alignment wrapText="1"/>
    </xf>
    <xf numFmtId="166" fontId="220" fillId="4" borderId="408" xfId="0" applyNumberFormat="1" applyFont="1" applyFill="1" applyBorder="1" applyAlignment="1">
      <alignment vertical="center" wrapText="1"/>
    </xf>
    <xf numFmtId="0" fontId="220" fillId="4" borderId="287" xfId="0" applyFont="1" applyFill="1" applyBorder="1" applyAlignment="1">
      <alignment wrapText="1"/>
    </xf>
    <xf numFmtId="174" fontId="221" fillId="18" borderId="227" xfId="0" applyNumberFormat="1" applyFont="1" applyFill="1" applyBorder="1" applyAlignment="1">
      <alignment vertical="center" wrapText="1"/>
    </xf>
    <xf numFmtId="166" fontId="221" fillId="18" borderId="406" xfId="0" applyNumberFormat="1" applyFont="1" applyFill="1" applyBorder="1" applyAlignment="1">
      <alignment vertical="center" wrapText="1"/>
    </xf>
    <xf numFmtId="166" fontId="221" fillId="18" borderId="293" xfId="0" applyNumberFormat="1" applyFont="1" applyFill="1" applyBorder="1" applyAlignment="1">
      <alignment vertical="center" wrapText="1"/>
    </xf>
    <xf numFmtId="174" fontId="196" fillId="4" borderId="224" xfId="0" applyNumberFormat="1" applyFont="1" applyFill="1" applyBorder="1" applyAlignment="1">
      <alignment vertical="center" wrapText="1"/>
    </xf>
    <xf numFmtId="0" fontId="196" fillId="4" borderId="167" xfId="0" applyFont="1" applyFill="1" applyBorder="1" applyAlignment="1">
      <alignment wrapText="1"/>
    </xf>
    <xf numFmtId="166" fontId="222" fillId="4" borderId="78" xfId="0" applyNumberFormat="1" applyFont="1" applyFill="1" applyBorder="1" applyAlignment="1">
      <alignment vertical="center" wrapText="1"/>
    </xf>
    <xf numFmtId="174" fontId="220" fillId="4" borderId="407" xfId="0" applyNumberFormat="1" applyFont="1" applyFill="1" applyBorder="1" applyAlignment="1">
      <alignment vertical="center" wrapText="1"/>
    </xf>
    <xf numFmtId="0" fontId="220" fillId="4" borderId="171" xfId="0" applyFont="1" applyFill="1" applyBorder="1" applyAlignment="1">
      <alignment wrapText="1"/>
    </xf>
    <xf numFmtId="0" fontId="221" fillId="18" borderId="70" xfId="0" applyFont="1" applyFill="1" applyBorder="1" applyAlignment="1">
      <alignment wrapText="1"/>
    </xf>
    <xf numFmtId="174" fontId="196" fillId="4" borderId="165" xfId="0" applyNumberFormat="1" applyFont="1" applyFill="1" applyBorder="1" applyAlignment="1">
      <alignment vertical="center" wrapText="1"/>
    </xf>
    <xf numFmtId="0" fontId="32" fillId="18" borderId="189" xfId="0" applyFont="1" applyFill="1" applyBorder="1" applyAlignment="1">
      <alignment horizontal="center" vertical="center" wrapText="1"/>
    </xf>
    <xf numFmtId="174" fontId="196" fillId="4" borderId="167" xfId="0" applyNumberFormat="1" applyFont="1" applyFill="1" applyBorder="1" applyAlignment="1">
      <alignment vertical="center" wrapText="1"/>
    </xf>
    <xf numFmtId="174" fontId="221" fillId="13" borderId="165" xfId="0" applyNumberFormat="1" applyFont="1" applyFill="1" applyBorder="1" applyAlignment="1">
      <alignment vertical="center" wrapText="1"/>
    </xf>
    <xf numFmtId="174" fontId="221" fillId="13" borderId="167" xfId="0" applyNumberFormat="1" applyFont="1" applyFill="1" applyBorder="1" applyAlignment="1">
      <alignment vertical="center" wrapText="1"/>
    </xf>
    <xf numFmtId="0" fontId="221" fillId="13" borderId="171" xfId="0" applyFont="1" applyFill="1" applyBorder="1" applyAlignment="1">
      <alignment wrapText="1"/>
    </xf>
    <xf numFmtId="166" fontId="221" fillId="13" borderId="56" xfId="0" applyNumberFormat="1" applyFont="1" applyFill="1" applyBorder="1" applyAlignment="1">
      <alignment vertical="center" wrapText="1"/>
    </xf>
    <xf numFmtId="166" fontId="221" fillId="13" borderId="70" xfId="0" applyNumberFormat="1" applyFont="1" applyFill="1" applyBorder="1" applyAlignment="1">
      <alignment vertical="center" wrapText="1"/>
    </xf>
    <xf numFmtId="0" fontId="221" fillId="13" borderId="287" xfId="0" applyFont="1" applyFill="1" applyBorder="1" applyAlignment="1">
      <alignment wrapText="1"/>
    </xf>
    <xf numFmtId="0" fontId="221" fillId="18" borderId="167" xfId="0" applyFont="1" applyFill="1" applyBorder="1" applyAlignment="1">
      <alignment wrapText="1"/>
    </xf>
    <xf numFmtId="0" fontId="196" fillId="4" borderId="171" xfId="0" applyFont="1" applyFill="1" applyBorder="1" applyAlignment="1">
      <alignment wrapText="1"/>
    </xf>
    <xf numFmtId="0" fontId="196" fillId="4" borderId="287" xfId="0" applyFont="1" applyFill="1" applyBorder="1" applyAlignment="1">
      <alignment wrapText="1"/>
    </xf>
    <xf numFmtId="177" fontId="36" fillId="0" borderId="412" xfId="0" applyNumberFormat="1" applyFont="1" applyBorder="1" applyAlignment="1" applyProtection="1">
      <alignment horizontal="right"/>
    </xf>
    <xf numFmtId="0" fontId="37" fillId="0" borderId="279" xfId="0" applyFont="1" applyBorder="1" applyAlignment="1" applyProtection="1">
      <alignment horizontal="right"/>
    </xf>
    <xf numFmtId="177" fontId="36" fillId="0" borderId="414" xfId="0" applyNumberFormat="1" applyFont="1" applyBorder="1" applyAlignment="1" applyProtection="1">
      <alignment horizontal="right"/>
    </xf>
    <xf numFmtId="0" fontId="37" fillId="0" borderId="35" xfId="0" applyFont="1" applyBorder="1" applyAlignment="1" applyProtection="1">
      <alignment horizontal="right"/>
    </xf>
    <xf numFmtId="0" fontId="32" fillId="12" borderId="413" xfId="0" applyFont="1" applyFill="1" applyBorder="1" applyAlignment="1" applyProtection="1">
      <alignment horizontal="center" vertical="center" wrapText="1"/>
    </xf>
    <xf numFmtId="0" fontId="37" fillId="12" borderId="276" xfId="0" applyFont="1" applyFill="1" applyBorder="1" applyAlignment="1" applyProtection="1">
      <alignment horizontal="center"/>
    </xf>
    <xf numFmtId="177" fontId="36" fillId="0" borderId="418" xfId="0" applyNumberFormat="1" applyFont="1" applyBorder="1" applyAlignment="1" applyProtection="1">
      <alignment horizontal="right"/>
    </xf>
    <xf numFmtId="0" fontId="37" fillId="0" borderId="288" xfId="0" applyFont="1" applyBorder="1" applyAlignment="1" applyProtection="1">
      <alignment horizontal="right"/>
    </xf>
    <xf numFmtId="177" fontId="36" fillId="0" borderId="411" xfId="0" applyNumberFormat="1" applyFont="1" applyBorder="1" applyAlignment="1" applyProtection="1">
      <alignment horizontal="right"/>
    </xf>
    <xf numFmtId="0" fontId="37" fillId="0" borderId="258" xfId="0" applyFont="1" applyBorder="1" applyAlignment="1" applyProtection="1">
      <alignment horizontal="right"/>
    </xf>
    <xf numFmtId="177" fontId="36" fillId="0" borderId="410" xfId="0" applyNumberFormat="1" applyFont="1" applyBorder="1" applyAlignment="1" applyProtection="1">
      <alignment horizontal="right"/>
    </xf>
    <xf numFmtId="0" fontId="37" fillId="0" borderId="262" xfId="0" applyFont="1" applyBorder="1" applyAlignment="1" applyProtection="1">
      <alignment horizontal="right"/>
    </xf>
    <xf numFmtId="0" fontId="196" fillId="4" borderId="227" xfId="0" applyFont="1" applyFill="1" applyBorder="1" applyAlignment="1">
      <alignment wrapText="1"/>
    </xf>
    <xf numFmtId="0" fontId="196" fillId="4" borderId="82" xfId="0" applyFont="1" applyFill="1" applyBorder="1" applyAlignment="1">
      <alignment wrapText="1"/>
    </xf>
    <xf numFmtId="177" fontId="32" fillId="0" borderId="414" xfId="0" applyNumberFormat="1" applyFont="1" applyBorder="1" applyAlignment="1" applyProtection="1">
      <alignment horizontal="right"/>
    </xf>
    <xf numFmtId="0" fontId="35" fillId="0" borderId="35" xfId="0" applyFont="1" applyBorder="1" applyAlignment="1" applyProtection="1">
      <alignment horizontal="right"/>
    </xf>
    <xf numFmtId="177" fontId="32" fillId="0" borderId="410" xfId="0" applyNumberFormat="1" applyFont="1" applyBorder="1" applyAlignment="1" applyProtection="1">
      <alignment horizontal="right"/>
    </xf>
    <xf numFmtId="0" fontId="35" fillId="0" borderId="262" xfId="0" applyFont="1" applyBorder="1" applyAlignment="1" applyProtection="1">
      <alignment horizontal="right"/>
    </xf>
    <xf numFmtId="0" fontId="36" fillId="0" borderId="3" xfId="0" applyFont="1" applyBorder="1" applyAlignment="1">
      <alignment wrapText="1"/>
    </xf>
    <xf numFmtId="0" fontId="37" fillId="0" borderId="4" xfId="0" applyFont="1" applyBorder="1" applyAlignment="1">
      <alignment wrapText="1"/>
    </xf>
    <xf numFmtId="0" fontId="37" fillId="0" borderId="90" xfId="0" applyFont="1" applyBorder="1" applyAlignment="1">
      <alignment wrapText="1"/>
    </xf>
    <xf numFmtId="166" fontId="36" fillId="0" borderId="419" xfId="0" applyNumberFormat="1" applyFont="1" applyBorder="1" applyAlignment="1">
      <alignment horizontal="right" vertical="center" wrapText="1"/>
    </xf>
    <xf numFmtId="0" fontId="37" fillId="0" borderId="268" xfId="0" applyFont="1" applyBorder="1" applyAlignment="1">
      <alignment horizontal="right" vertical="center" wrapText="1"/>
    </xf>
    <xf numFmtId="1" fontId="32" fillId="0" borderId="246" xfId="0" applyNumberFormat="1" applyFont="1" applyFill="1" applyBorder="1" applyAlignment="1" applyProtection="1">
      <alignment horizontal="center" vertical="center" wrapText="1"/>
    </xf>
    <xf numFmtId="1" fontId="32" fillId="0" borderId="144" xfId="0" applyNumberFormat="1" applyFont="1" applyFill="1" applyBorder="1" applyAlignment="1" applyProtection="1">
      <alignment horizontal="center" vertical="center" wrapText="1"/>
    </xf>
    <xf numFmtId="0" fontId="32" fillId="0" borderId="153" xfId="0" applyFont="1" applyFill="1" applyBorder="1" applyAlignment="1" applyProtection="1">
      <alignment horizontal="center" vertical="center" wrapText="1"/>
    </xf>
    <xf numFmtId="0" fontId="37" fillId="0" borderId="262" xfId="0" applyFont="1" applyBorder="1" applyAlignment="1">
      <alignment horizontal="right"/>
    </xf>
    <xf numFmtId="0" fontId="32" fillId="0" borderId="245" xfId="0" applyFont="1" applyFill="1" applyBorder="1" applyAlignment="1" applyProtection="1">
      <alignment wrapText="1"/>
    </xf>
    <xf numFmtId="0" fontId="37" fillId="0" borderId="71" xfId="0" applyFont="1" applyBorder="1" applyAlignment="1">
      <alignment wrapText="1"/>
    </xf>
    <xf numFmtId="0" fontId="32" fillId="0" borderId="11" xfId="0" applyFont="1" applyFill="1" applyBorder="1" applyAlignment="1" applyProtection="1">
      <alignment wrapText="1"/>
    </xf>
    <xf numFmtId="0" fontId="37" fillId="0" borderId="0" xfId="0" applyFont="1" applyAlignment="1">
      <alignment wrapText="1"/>
    </xf>
    <xf numFmtId="0" fontId="37" fillId="12" borderId="276" xfId="0" applyFont="1" applyFill="1" applyBorder="1" applyAlignment="1">
      <alignment horizontal="center" wrapText="1"/>
    </xf>
    <xf numFmtId="177" fontId="36" fillId="0" borderId="415" xfId="0" applyNumberFormat="1" applyFont="1" applyBorder="1" applyAlignment="1" applyProtection="1">
      <alignment horizontal="right"/>
    </xf>
    <xf numFmtId="0" fontId="37" fillId="0" borderId="127" xfId="0" applyFont="1" applyBorder="1" applyAlignment="1">
      <alignment horizontal="right"/>
    </xf>
    <xf numFmtId="177" fontId="36" fillId="0" borderId="416" xfId="0" applyNumberFormat="1" applyFont="1" applyBorder="1" applyAlignment="1" applyProtection="1">
      <alignment horizontal="right"/>
    </xf>
    <xf numFmtId="0" fontId="37" fillId="0" borderId="417" xfId="0" applyFont="1" applyBorder="1" applyAlignment="1">
      <alignment horizontal="right"/>
    </xf>
    <xf numFmtId="0" fontId="32" fillId="0" borderId="139" xfId="0" applyFont="1" applyBorder="1" applyAlignment="1" applyProtection="1">
      <alignment wrapText="1"/>
    </xf>
    <xf numFmtId="0" fontId="37" fillId="0" borderId="150" xfId="0" applyFont="1" applyBorder="1" applyAlignment="1">
      <alignment wrapText="1"/>
    </xf>
    <xf numFmtId="0" fontId="35" fillId="0" borderId="262" xfId="0" applyFont="1" applyBorder="1" applyAlignment="1">
      <alignment horizontal="right"/>
    </xf>
    <xf numFmtId="1" fontId="35" fillId="0" borderId="144" xfId="0" applyNumberFormat="1" applyFont="1" applyFill="1" applyBorder="1" applyAlignment="1" applyProtection="1">
      <alignment horizontal="center" vertical="center" wrapText="1"/>
    </xf>
    <xf numFmtId="1" fontId="35" fillId="0" borderId="153" xfId="0" applyNumberFormat="1" applyFont="1" applyFill="1" applyBorder="1" applyAlignment="1" applyProtection="1">
      <alignment horizontal="center" vertical="center" wrapText="1"/>
    </xf>
    <xf numFmtId="0" fontId="37" fillId="12" borderId="276" xfId="0" applyFont="1" applyFill="1" applyBorder="1" applyAlignment="1" applyProtection="1">
      <alignment wrapText="1"/>
    </xf>
    <xf numFmtId="0" fontId="37" fillId="0" borderId="258" xfId="0" applyFont="1" applyBorder="1" applyAlignment="1">
      <alignment horizontal="right"/>
    </xf>
    <xf numFmtId="0" fontId="37" fillId="0" borderId="279" xfId="0" applyFont="1" applyBorder="1" applyAlignment="1">
      <alignment horizontal="right"/>
    </xf>
    <xf numFmtId="177" fontId="36" fillId="0" borderId="412" xfId="0" applyNumberFormat="1" applyFont="1" applyBorder="1" applyAlignment="1" applyProtection="1">
      <alignment horizontal="right" wrapText="1"/>
    </xf>
    <xf numFmtId="0" fontId="37" fillId="0" borderId="279" xfId="0" applyFont="1" applyBorder="1" applyAlignment="1" applyProtection="1">
      <alignment horizontal="right" wrapText="1"/>
    </xf>
    <xf numFmtId="0" fontId="32" fillId="3" borderId="125" xfId="0" applyFont="1" applyFill="1" applyBorder="1" applyAlignment="1" applyProtection="1">
      <alignment wrapText="1"/>
    </xf>
    <xf numFmtId="0" fontId="37" fillId="3" borderId="225" xfId="0" applyFont="1" applyFill="1" applyBorder="1" applyAlignment="1">
      <alignment wrapText="1"/>
    </xf>
    <xf numFmtId="1" fontId="32" fillId="0" borderId="153" xfId="0" applyNumberFormat="1" applyFont="1" applyFill="1" applyBorder="1" applyAlignment="1" applyProtection="1">
      <alignment horizontal="center" vertical="center" wrapText="1"/>
    </xf>
    <xf numFmtId="0" fontId="35" fillId="12" borderId="276" xfId="0" applyFont="1" applyFill="1" applyBorder="1" applyAlignment="1" applyProtection="1">
      <alignment horizontal="center" vertical="center" wrapText="1"/>
    </xf>
    <xf numFmtId="166" fontId="303" fillId="4" borderId="70" xfId="0" applyNumberFormat="1" applyFont="1" applyFill="1" applyBorder="1" applyAlignment="1">
      <alignment vertical="center" wrapText="1"/>
    </xf>
    <xf numFmtId="0" fontId="303" fillId="4" borderId="70" xfId="0" applyFont="1" applyFill="1" applyBorder="1" applyAlignment="1">
      <alignment wrapText="1"/>
    </xf>
    <xf numFmtId="166" fontId="303" fillId="4" borderId="78" xfId="0" applyNumberFormat="1" applyFont="1" applyFill="1" applyBorder="1" applyAlignment="1">
      <alignment vertical="center" wrapText="1"/>
    </xf>
    <xf numFmtId="0" fontId="91" fillId="0" borderId="583" xfId="0" applyFont="1" applyBorder="1" applyAlignment="1">
      <alignment horizontal="center" vertical="center" wrapText="1"/>
    </xf>
    <xf numFmtId="0" fontId="0" fillId="0" borderId="583" xfId="0" applyBorder="1" applyAlignment="1">
      <alignment wrapText="1"/>
    </xf>
    <xf numFmtId="166" fontId="84" fillId="14" borderId="421" xfId="0" applyNumberFormat="1" applyFont="1" applyFill="1" applyBorder="1" applyAlignment="1">
      <alignment horizontal="center" vertical="center" wrapText="1"/>
    </xf>
    <xf numFmtId="0" fontId="81" fillId="14" borderId="422" xfId="0" applyFont="1" applyFill="1" applyBorder="1" applyAlignment="1">
      <alignment wrapText="1"/>
    </xf>
    <xf numFmtId="9" fontId="168" fillId="14" borderId="259" xfId="0" applyNumberFormat="1" applyFont="1" applyFill="1" applyBorder="1" applyAlignment="1">
      <alignment horizontal="center" vertical="center" wrapText="1"/>
    </xf>
    <xf numFmtId="0" fontId="81" fillId="14" borderId="420" xfId="0" applyFont="1" applyFill="1" applyBorder="1" applyAlignment="1">
      <alignment wrapText="1"/>
    </xf>
    <xf numFmtId="9" fontId="168" fillId="12" borderId="321" xfId="0" applyNumberFormat="1" applyFont="1" applyFill="1" applyBorder="1" applyAlignment="1">
      <alignment horizontal="center" vertical="center" wrapText="1"/>
    </xf>
    <xf numFmtId="9" fontId="168" fillId="12" borderId="286" xfId="0" applyNumberFormat="1" applyFont="1" applyFill="1" applyBorder="1" applyAlignment="1">
      <alignment horizontal="center" vertical="center" wrapText="1"/>
    </xf>
    <xf numFmtId="0" fontId="81" fillId="0" borderId="286" xfId="0" applyFont="1" applyBorder="1" applyAlignment="1"/>
    <xf numFmtId="0" fontId="86" fillId="13" borderId="320" xfId="0" applyFont="1" applyFill="1" applyBorder="1" applyAlignment="1">
      <alignment horizontal="left" vertical="center" wrapText="1"/>
    </xf>
    <xf numFmtId="0" fontId="81" fillId="13" borderId="320" xfId="0" applyFont="1" applyFill="1" applyBorder="1" applyAlignment="1">
      <alignment horizontal="left" vertical="center"/>
    </xf>
    <xf numFmtId="0" fontId="84" fillId="13" borderId="319" xfId="0" applyFont="1" applyFill="1" applyBorder="1" applyAlignment="1">
      <alignment horizontal="center" wrapText="1"/>
    </xf>
    <xf numFmtId="0" fontId="17" fillId="0" borderId="320" xfId="0" applyFont="1" applyBorder="1" applyAlignment="1">
      <alignment horizontal="center" wrapText="1"/>
    </xf>
    <xf numFmtId="182" fontId="84" fillId="12" borderId="325" xfId="0" applyNumberFormat="1" applyFont="1" applyFill="1" applyBorder="1" applyAlignment="1">
      <alignment horizontal="center" vertical="center" wrapText="1"/>
    </xf>
    <xf numFmtId="182" fontId="84" fillId="12" borderId="285" xfId="0" applyNumberFormat="1" applyFont="1" applyFill="1" applyBorder="1" applyAlignment="1">
      <alignment horizontal="center" vertical="center" wrapText="1"/>
    </xf>
    <xf numFmtId="0" fontId="82" fillId="12" borderId="326" xfId="0" applyFont="1" applyFill="1" applyBorder="1" applyAlignment="1">
      <alignment vertical="center" wrapText="1"/>
    </xf>
    <xf numFmtId="0" fontId="81" fillId="0" borderId="284" xfId="0" applyFont="1" applyBorder="1" applyAlignment="1"/>
    <xf numFmtId="166" fontId="84" fillId="12" borderId="325" xfId="0" applyNumberFormat="1" applyFont="1" applyFill="1" applyBorder="1" applyAlignment="1">
      <alignment horizontal="center" vertical="center" wrapText="1"/>
    </xf>
    <xf numFmtId="0" fontId="87" fillId="0" borderId="285" xfId="0" applyFont="1" applyBorder="1" applyAlignment="1"/>
    <xf numFmtId="177" fontId="84" fillId="12" borderId="325" xfId="0" applyNumberFormat="1" applyFont="1" applyFill="1" applyBorder="1" applyAlignment="1">
      <alignment horizontal="center" vertical="center" wrapText="1"/>
    </xf>
    <xf numFmtId="177" fontId="87" fillId="0" borderId="285" xfId="0" applyNumberFormat="1" applyFont="1" applyBorder="1" applyAlignment="1"/>
    <xf numFmtId="0" fontId="87" fillId="13" borderId="319" xfId="0" applyFont="1" applyFill="1" applyBorder="1" applyAlignment="1">
      <alignment horizontal="center" vertical="top" wrapText="1"/>
    </xf>
    <xf numFmtId="0" fontId="87" fillId="0" borderId="320" xfId="0" applyFont="1" applyBorder="1" applyAlignment="1">
      <alignment horizontal="center" vertical="top" wrapText="1"/>
    </xf>
    <xf numFmtId="0" fontId="82" fillId="13" borderId="321" xfId="0" applyFont="1" applyFill="1" applyBorder="1" applyAlignment="1">
      <alignment vertical="center" wrapText="1"/>
    </xf>
    <xf numFmtId="0" fontId="81" fillId="0" borderId="320" xfId="0" applyFont="1" applyBorder="1" applyAlignment="1">
      <alignment vertical="center" wrapText="1"/>
    </xf>
    <xf numFmtId="2" fontId="82" fillId="13" borderId="325" xfId="0" applyNumberFormat="1" applyFont="1" applyFill="1" applyBorder="1" applyAlignment="1">
      <alignment horizontal="center" vertical="center" wrapText="1"/>
    </xf>
    <xf numFmtId="0" fontId="81" fillId="0" borderId="319" xfId="0" applyFont="1" applyBorder="1" applyAlignment="1">
      <alignment wrapText="1"/>
    </xf>
    <xf numFmtId="0" fontId="142" fillId="0" borderId="583" xfId="0" applyFont="1" applyBorder="1" applyAlignment="1">
      <alignment horizontal="center" vertical="center" wrapText="1"/>
    </xf>
    <xf numFmtId="0" fontId="87" fillId="0" borderId="285" xfId="0" applyFont="1" applyBorder="1" applyAlignment="1">
      <alignment wrapText="1"/>
    </xf>
    <xf numFmtId="0" fontId="86" fillId="14" borderId="321" xfId="0" applyFont="1" applyFill="1" applyBorder="1" applyAlignment="1">
      <alignment vertical="center" wrapText="1"/>
    </xf>
    <xf numFmtId="0" fontId="81" fillId="14" borderId="286" xfId="0" applyFont="1" applyFill="1" applyBorder="1" applyAlignment="1">
      <alignment vertical="center" wrapText="1"/>
    </xf>
    <xf numFmtId="0" fontId="227" fillId="0" borderId="0" xfId="0" applyFont="1" applyBorder="1" applyAlignment="1">
      <alignment horizontal="center" vertical="center" wrapText="1"/>
    </xf>
    <xf numFmtId="0" fontId="0" fillId="0" borderId="0" xfId="0" applyBorder="1" applyAlignment="1">
      <alignment wrapText="1"/>
    </xf>
    <xf numFmtId="166" fontId="167" fillId="14" borderId="421" xfId="0" applyNumberFormat="1" applyFont="1" applyFill="1" applyBorder="1" applyAlignment="1">
      <alignment horizontal="center" vertical="center" wrapText="1"/>
    </xf>
    <xf numFmtId="182" fontId="82" fillId="14" borderId="325" xfId="0" applyNumberFormat="1" applyFont="1" applyFill="1" applyBorder="1" applyAlignment="1">
      <alignment horizontal="center" vertical="center" wrapText="1"/>
    </xf>
    <xf numFmtId="0" fontId="81" fillId="14" borderId="321" xfId="0" applyFont="1" applyFill="1" applyBorder="1" applyAlignment="1">
      <alignment wrapText="1"/>
    </xf>
    <xf numFmtId="0" fontId="81" fillId="14" borderId="285" xfId="0" applyFont="1" applyFill="1" applyBorder="1" applyAlignment="1">
      <alignment wrapText="1"/>
    </xf>
    <xf numFmtId="0" fontId="81" fillId="14" borderId="286" xfId="0" applyFont="1" applyFill="1" applyBorder="1" applyAlignment="1">
      <alignment wrapText="1"/>
    </xf>
    <xf numFmtId="0" fontId="84" fillId="12" borderId="326" xfId="0" applyFont="1" applyFill="1" applyBorder="1" applyAlignment="1">
      <alignment vertical="center" wrapText="1"/>
    </xf>
    <xf numFmtId="0" fontId="87" fillId="0" borderId="284" xfId="0" applyFont="1" applyBorder="1" applyAlignment="1"/>
    <xf numFmtId="166" fontId="183" fillId="0" borderId="319" xfId="5" applyNumberFormat="1" applyFont="1" applyFill="1" applyBorder="1" applyAlignment="1">
      <alignment horizontal="center" vertical="center" wrapText="1"/>
    </xf>
    <xf numFmtId="166" fontId="165" fillId="0" borderId="319" xfId="0" applyNumberFormat="1" applyFont="1" applyFill="1" applyBorder="1" applyAlignment="1">
      <alignment vertical="center" wrapText="1"/>
    </xf>
    <xf numFmtId="0" fontId="142" fillId="0" borderId="598" xfId="0" applyFont="1" applyBorder="1" applyAlignment="1">
      <alignment horizontal="center" vertical="center" wrapText="1"/>
    </xf>
    <xf numFmtId="0" fontId="4" fillId="0" borderId="598" xfId="0" applyFont="1" applyBorder="1" applyAlignment="1">
      <alignment wrapText="1"/>
    </xf>
    <xf numFmtId="9" fontId="168" fillId="26" borderId="321" xfId="0" applyNumberFormat="1" applyFont="1" applyFill="1" applyBorder="1" applyAlignment="1">
      <alignment horizontal="center" vertical="center" wrapText="1"/>
    </xf>
    <xf numFmtId="9" fontId="226" fillId="26" borderId="286" xfId="0" applyNumberFormat="1" applyFont="1" applyFill="1" applyBorder="1" applyAlignment="1">
      <alignment horizontal="center" vertical="center" wrapText="1"/>
    </xf>
    <xf numFmtId="0" fontId="87" fillId="0" borderId="320" xfId="0" applyFont="1" applyBorder="1" applyAlignment="1">
      <alignment horizontal="center" wrapText="1"/>
    </xf>
    <xf numFmtId="0" fontId="224" fillId="33" borderId="0" xfId="0" applyFont="1" applyFill="1" applyBorder="1" applyAlignment="1">
      <alignment horizontal="center" vertical="center" wrapText="1"/>
    </xf>
    <xf numFmtId="0" fontId="225" fillId="33" borderId="0" xfId="0" applyFont="1" applyFill="1" applyBorder="1" applyAlignment="1">
      <alignment horizontal="center" vertical="center"/>
    </xf>
    <xf numFmtId="182" fontId="84" fillId="29" borderId="325" xfId="0" applyNumberFormat="1" applyFont="1" applyFill="1" applyBorder="1" applyAlignment="1">
      <alignment horizontal="center" vertical="center" wrapText="1"/>
    </xf>
    <xf numFmtId="182" fontId="84" fillId="29" borderId="285" xfId="0" applyNumberFormat="1" applyFont="1" applyFill="1" applyBorder="1" applyAlignment="1">
      <alignment horizontal="center" vertical="center" wrapText="1"/>
    </xf>
    <xf numFmtId="9" fontId="168" fillId="4" borderId="321" xfId="0" applyNumberFormat="1" applyFont="1" applyFill="1" applyBorder="1" applyAlignment="1">
      <alignment horizontal="center" vertical="center" wrapText="1"/>
    </xf>
    <xf numFmtId="9" fontId="168" fillId="0" borderId="286" xfId="0" applyNumberFormat="1" applyFont="1" applyBorder="1" applyAlignment="1">
      <alignment horizontal="center" vertical="center" wrapText="1"/>
    </xf>
    <xf numFmtId="182" fontId="84" fillId="4" borderId="325" xfId="0" applyNumberFormat="1" applyFont="1" applyFill="1" applyBorder="1" applyAlignment="1">
      <alignment horizontal="center" vertical="center" wrapText="1"/>
    </xf>
    <xf numFmtId="182" fontId="84" fillId="4" borderId="285" xfId="0" applyNumberFormat="1" applyFont="1" applyFill="1" applyBorder="1" applyAlignment="1">
      <alignment horizontal="center" vertical="center" wrapText="1"/>
    </xf>
    <xf numFmtId="182" fontId="84" fillId="26" borderId="325" xfId="0" applyNumberFormat="1" applyFont="1" applyFill="1" applyBorder="1" applyAlignment="1">
      <alignment horizontal="center" vertical="center" wrapText="1"/>
    </xf>
    <xf numFmtId="182" fontId="84" fillId="26" borderId="285" xfId="0" applyNumberFormat="1" applyFont="1" applyFill="1" applyBorder="1" applyAlignment="1">
      <alignment horizontal="center" vertical="center" wrapText="1"/>
    </xf>
    <xf numFmtId="0" fontId="86" fillId="26" borderId="321" xfId="0" applyFont="1" applyFill="1" applyBorder="1" applyAlignment="1">
      <alignment horizontal="left" vertical="center" wrapText="1"/>
    </xf>
    <xf numFmtId="0" fontId="81" fillId="26" borderId="286" xfId="0" applyFont="1" applyFill="1" applyBorder="1" applyAlignment="1">
      <alignment horizontal="left" vertical="center" wrapText="1"/>
    </xf>
    <xf numFmtId="9" fontId="168" fillId="29" borderId="321" xfId="0" applyNumberFormat="1" applyFont="1" applyFill="1" applyBorder="1" applyAlignment="1">
      <alignment horizontal="center" vertical="center" wrapText="1"/>
    </xf>
    <xf numFmtId="9" fontId="226" fillId="29" borderId="286" xfId="0" applyNumberFormat="1" applyFont="1" applyFill="1" applyBorder="1" applyAlignment="1">
      <alignment horizontal="center" vertical="center" wrapText="1"/>
    </xf>
    <xf numFmtId="0" fontId="81" fillId="29" borderId="321" xfId="0" applyFont="1" applyFill="1" applyBorder="1" applyAlignment="1">
      <alignment horizontal="left" vertical="center" wrapText="1"/>
    </xf>
    <xf numFmtId="0" fontId="81" fillId="29" borderId="286" xfId="0" applyFont="1" applyFill="1" applyBorder="1" applyAlignment="1">
      <alignment horizontal="left" vertical="center" wrapText="1"/>
    </xf>
    <xf numFmtId="0" fontId="0" fillId="0" borderId="0" xfId="0" applyBorder="1" applyAlignment="1">
      <alignment horizontal="center" wrapText="1"/>
    </xf>
    <xf numFmtId="3" fontId="84" fillId="14" borderId="425" xfId="0" applyNumberFormat="1" applyFont="1" applyFill="1" applyBorder="1" applyAlignment="1" applyProtection="1">
      <alignment vertical="center" wrapText="1"/>
      <protection hidden="1"/>
    </xf>
    <xf numFmtId="3" fontId="84" fillId="14" borderId="426" xfId="0" applyNumberFormat="1" applyFont="1" applyFill="1" applyBorder="1" applyAlignment="1" applyProtection="1">
      <alignment vertical="center" wrapText="1"/>
      <protection hidden="1"/>
    </xf>
    <xf numFmtId="9" fontId="168" fillId="14" borderId="423" xfId="0" applyNumberFormat="1" applyFont="1" applyFill="1" applyBorder="1" applyAlignment="1">
      <alignment horizontal="center" vertical="center" wrapText="1"/>
    </xf>
    <xf numFmtId="0" fontId="81" fillId="14" borderId="424" xfId="0" applyFont="1" applyFill="1" applyBorder="1" applyAlignment="1">
      <alignment wrapText="1"/>
    </xf>
    <xf numFmtId="0" fontId="82" fillId="12" borderId="321" xfId="0" applyFont="1" applyFill="1" applyBorder="1" applyAlignment="1">
      <alignment wrapText="1"/>
    </xf>
    <xf numFmtId="0" fontId="81" fillId="0" borderId="286" xfId="0" applyFont="1" applyBorder="1" applyAlignment="1">
      <alignment wrapText="1"/>
    </xf>
    <xf numFmtId="169" fontId="16" fillId="0" borderId="90" xfId="5" applyNumberFormat="1" applyFont="1" applyFill="1" applyBorder="1" applyAlignment="1" applyProtection="1">
      <alignment horizontal="center" vertical="center"/>
      <protection hidden="1"/>
    </xf>
    <xf numFmtId="169" fontId="16" fillId="0" borderId="56" xfId="5" applyNumberFormat="1" applyFont="1" applyFill="1" applyBorder="1" applyAlignment="1" applyProtection="1">
      <alignment horizontal="center" vertical="center"/>
      <protection hidden="1"/>
    </xf>
    <xf numFmtId="169" fontId="16" fillId="0" borderId="69" xfId="5" applyNumberFormat="1" applyFont="1" applyFill="1" applyBorder="1" applyAlignment="1" applyProtection="1">
      <alignment horizontal="center" vertical="center"/>
      <protection hidden="1"/>
    </xf>
    <xf numFmtId="169" fontId="16" fillId="0" borderId="427" xfId="5" applyNumberFormat="1" applyFont="1" applyFill="1" applyBorder="1" applyAlignment="1" applyProtection="1">
      <alignment horizontal="center" vertical="center"/>
      <protection hidden="1"/>
    </xf>
    <xf numFmtId="166" fontId="183" fillId="0" borderId="318" xfId="5" applyNumberFormat="1" applyFont="1" applyFill="1" applyBorder="1" applyAlignment="1">
      <alignment horizontal="center" vertical="center" wrapText="1"/>
    </xf>
    <xf numFmtId="166" fontId="165" fillId="0" borderId="318" xfId="0" applyNumberFormat="1" applyFont="1" applyFill="1" applyBorder="1" applyAlignment="1">
      <alignment vertical="center" wrapText="1"/>
    </xf>
    <xf numFmtId="0" fontId="224" fillId="33" borderId="315" xfId="0" applyFont="1" applyFill="1" applyBorder="1" applyAlignment="1">
      <alignment horizontal="center" vertical="center" wrapText="1"/>
    </xf>
    <xf numFmtId="0" fontId="225" fillId="33" borderId="315" xfId="0" applyFont="1" applyFill="1" applyBorder="1" applyAlignment="1">
      <alignment horizontal="center" vertical="center"/>
    </xf>
    <xf numFmtId="0" fontId="152" fillId="0" borderId="429" xfId="0" applyFont="1" applyBorder="1" applyAlignment="1" applyProtection="1">
      <alignment horizontal="center" vertical="center" wrapText="1"/>
      <protection hidden="1"/>
    </xf>
    <xf numFmtId="0" fontId="17" fillId="0" borderId="430" xfId="0" applyFont="1" applyBorder="1" applyAlignment="1">
      <alignment horizontal="center" vertical="center" wrapText="1"/>
    </xf>
    <xf numFmtId="0" fontId="17" fillId="0" borderId="431" xfId="0" applyFont="1" applyBorder="1" applyAlignment="1">
      <alignment horizontal="center" vertical="center" wrapText="1"/>
    </xf>
    <xf numFmtId="0" fontId="152" fillId="0" borderId="305" xfId="0" applyFont="1" applyBorder="1" applyAlignment="1" applyProtection="1">
      <alignment horizontal="center" vertical="center" wrapText="1"/>
      <protection hidden="1"/>
    </xf>
    <xf numFmtId="0" fontId="152" fillId="0" borderId="305" xfId="0" applyFont="1" applyBorder="1" applyAlignment="1">
      <alignment horizontal="center" vertical="center" wrapText="1"/>
    </xf>
    <xf numFmtId="0" fontId="14" fillId="0" borderId="0" xfId="0" applyFont="1" applyFill="1" applyBorder="1" applyAlignment="1" applyProtection="1">
      <alignment vertical="top" wrapText="1"/>
      <protection hidden="1"/>
    </xf>
    <xf numFmtId="0" fontId="0" fillId="0" borderId="0" xfId="0" applyAlignment="1" applyProtection="1">
      <alignment wrapText="1"/>
      <protection hidden="1"/>
    </xf>
    <xf numFmtId="3" fontId="4" fillId="0" borderId="218" xfId="0" applyNumberFormat="1" applyFont="1" applyFill="1" applyBorder="1" applyAlignment="1" applyProtection="1">
      <alignment vertical="center" wrapText="1"/>
      <protection hidden="1"/>
    </xf>
    <xf numFmtId="3" fontId="4" fillId="0" borderId="80" xfId="0" applyNumberFormat="1" applyFont="1" applyFill="1" applyBorder="1" applyAlignment="1" applyProtection="1">
      <alignment vertical="center" wrapText="1"/>
      <protection hidden="1"/>
    </xf>
    <xf numFmtId="3" fontId="4" fillId="0" borderId="428" xfId="0" applyNumberFormat="1" applyFont="1" applyFill="1" applyBorder="1" applyAlignment="1" applyProtection="1">
      <alignment vertical="center" wrapText="1"/>
      <protection hidden="1"/>
    </xf>
    <xf numFmtId="3" fontId="4" fillId="0" borderId="218" xfId="0" applyNumberFormat="1" applyFont="1" applyBorder="1" applyAlignment="1" applyProtection="1">
      <alignment vertical="center" wrapText="1"/>
      <protection hidden="1"/>
    </xf>
    <xf numFmtId="3" fontId="4" fillId="0" borderId="80" xfId="0" applyNumberFormat="1" applyFont="1" applyBorder="1" applyAlignment="1" applyProtection="1">
      <alignment vertical="center" wrapText="1"/>
      <protection hidden="1"/>
    </xf>
    <xf numFmtId="3" fontId="4" fillId="0" borderId="428" xfId="0" applyNumberFormat="1" applyFont="1" applyBorder="1" applyAlignment="1" applyProtection="1">
      <alignment vertical="center" wrapText="1"/>
      <protection hidden="1"/>
    </xf>
    <xf numFmtId="3" fontId="4" fillId="0" borderId="432" xfId="0" applyNumberFormat="1" applyFont="1" applyBorder="1" applyAlignment="1" applyProtection="1">
      <alignment vertical="center" wrapText="1"/>
      <protection hidden="1"/>
    </xf>
    <xf numFmtId="3" fontId="4" fillId="0" borderId="216" xfId="0" applyNumberFormat="1" applyFont="1" applyBorder="1" applyAlignment="1" applyProtection="1">
      <alignment vertical="center" wrapText="1"/>
      <protection hidden="1"/>
    </xf>
    <xf numFmtId="169" fontId="16" fillId="0" borderId="58" xfId="5" applyNumberFormat="1" applyFont="1" applyFill="1" applyBorder="1" applyAlignment="1" applyProtection="1">
      <alignment horizontal="center" vertical="center"/>
      <protection hidden="1"/>
    </xf>
    <xf numFmtId="169" fontId="16" fillId="0" borderId="5" xfId="5" applyNumberFormat="1" applyFont="1" applyFill="1" applyBorder="1" applyAlignment="1" applyProtection="1">
      <alignment horizontal="center" vertical="center"/>
      <protection hidden="1"/>
    </xf>
    <xf numFmtId="3" fontId="7" fillId="3" borderId="218" xfId="0" applyNumberFormat="1" applyFont="1" applyFill="1" applyBorder="1" applyAlignment="1" applyProtection="1">
      <alignment horizontal="center" vertical="center" textRotation="90"/>
      <protection hidden="1"/>
    </xf>
    <xf numFmtId="3" fontId="7" fillId="3" borderId="80" xfId="0" applyNumberFormat="1" applyFont="1" applyFill="1" applyBorder="1" applyAlignment="1" applyProtection="1">
      <alignment horizontal="center" vertical="center" textRotation="90"/>
      <protection hidden="1"/>
    </xf>
    <xf numFmtId="3" fontId="7" fillId="3" borderId="216" xfId="0" applyNumberFormat="1" applyFont="1" applyFill="1" applyBorder="1" applyAlignment="1" applyProtection="1">
      <alignment horizontal="center" vertical="center" textRotation="90"/>
      <protection hidden="1"/>
    </xf>
    <xf numFmtId="3" fontId="7" fillId="3" borderId="118" xfId="0" applyNumberFormat="1" applyFont="1" applyFill="1" applyBorder="1" applyAlignment="1" applyProtection="1">
      <alignment horizontal="center" vertical="center" textRotation="90"/>
      <protection hidden="1"/>
    </xf>
    <xf numFmtId="3" fontId="7" fillId="3" borderId="47" xfId="0" applyNumberFormat="1" applyFont="1" applyFill="1" applyBorder="1" applyAlignment="1" applyProtection="1">
      <alignment horizontal="center" vertical="center" textRotation="90"/>
      <protection hidden="1"/>
    </xf>
    <xf numFmtId="3" fontId="7" fillId="3" borderId="405" xfId="0" applyNumberFormat="1" applyFont="1" applyFill="1" applyBorder="1" applyAlignment="1" applyProtection="1">
      <alignment horizontal="center" vertical="center" textRotation="90"/>
      <protection hidden="1"/>
    </xf>
    <xf numFmtId="0" fontId="7" fillId="3" borderId="218" xfId="0" applyNumberFormat="1" applyFont="1" applyFill="1" applyBorder="1" applyAlignment="1" applyProtection="1">
      <alignment horizontal="center" vertical="center" textRotation="90"/>
      <protection hidden="1"/>
    </xf>
    <xf numFmtId="0" fontId="7" fillId="3" borderId="80" xfId="0" applyNumberFormat="1" applyFont="1" applyFill="1" applyBorder="1" applyAlignment="1" applyProtection="1">
      <alignment horizontal="center" vertical="center" textRotation="90"/>
      <protection hidden="1"/>
    </xf>
    <xf numFmtId="0" fontId="7" fillId="3" borderId="216" xfId="0" applyNumberFormat="1" applyFont="1" applyFill="1" applyBorder="1" applyAlignment="1" applyProtection="1">
      <alignment horizontal="center" vertical="center" textRotation="90"/>
      <protection hidden="1"/>
    </xf>
  </cellXfs>
  <cellStyles count="6">
    <cellStyle name="Euro" xfId="1"/>
    <cellStyle name="Hipervínculo" xfId="2" builtinId="8"/>
    <cellStyle name="Millares" xfId="3" builtinId="3"/>
    <cellStyle name="Millares [0]" xfId="4" builtinId="6"/>
    <cellStyle name="Normal" xfId="0" builtinId="0"/>
    <cellStyle name="Porcentaje" xfId="5" builtinId="5"/>
  </cellStyles>
  <dxfs count="3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fill>
        <patternFill>
          <bgColor theme="0" tint="-0.14996795556505021"/>
        </patternFill>
      </fill>
      <border>
        <top style="thin">
          <color indexed="64"/>
        </top>
        <bottom style="thin">
          <color indexed="64"/>
        </bottom>
      </border>
    </dxf>
    <dxf>
      <border>
        <top style="thin">
          <color indexed="64"/>
        </top>
        <bottom style="thin">
          <color indexed="64"/>
        </bottom>
      </border>
    </dxf>
    <dxf>
      <fill>
        <patternFill>
          <bgColor indexed="15"/>
        </patternFill>
      </fill>
      <border>
        <left/>
        <right/>
        <top/>
        <bottom style="hair">
          <color indexed="64"/>
        </bottom>
      </border>
    </dxf>
    <dxf>
      <font>
        <condense val="0"/>
        <extend val="0"/>
        <color auto="1"/>
      </font>
      <fill>
        <patternFill patternType="none">
          <fgColor indexed="64"/>
          <bgColor indexed="65"/>
        </patternFill>
      </fill>
      <border>
        <left style="thin">
          <color indexed="64"/>
        </left>
        <right/>
        <top/>
        <bottom style="hair">
          <color indexed="64"/>
        </bottom>
      </border>
    </dxf>
    <dxf>
      <fill>
        <patternFill>
          <bgColor indexed="15"/>
        </patternFill>
      </fill>
      <border>
        <left/>
        <right/>
        <top style="thin">
          <color indexed="64"/>
        </top>
        <bottom/>
      </border>
    </dxf>
    <dxf>
      <font>
        <condense val="0"/>
        <extend val="0"/>
        <color auto="1"/>
      </font>
      <fill>
        <patternFill patternType="none">
          <fgColor indexed="64"/>
          <bgColor indexed="65"/>
        </patternFill>
      </fill>
      <border>
        <left style="thin">
          <color indexed="64"/>
        </left>
        <right/>
        <top style="thin">
          <color indexed="64"/>
        </top>
        <bottom/>
      </border>
    </dxf>
    <dxf>
      <fill>
        <patternFill>
          <bgColor indexed="42"/>
        </patternFill>
      </fill>
      <border>
        <left style="thin">
          <color indexed="64"/>
        </left>
        <right style="thin">
          <color indexed="64"/>
        </right>
        <top style="thin">
          <color indexed="64"/>
        </top>
        <bottom style="thin">
          <color indexed="64"/>
        </bottom>
      </border>
    </dxf>
    <dxf>
      <font>
        <condense val="0"/>
        <extend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bgColor indexed="15"/>
        </patternFill>
      </fill>
      <border>
        <left style="thin">
          <color indexed="64"/>
        </left>
        <right style="thin">
          <color indexed="64"/>
        </right>
        <top style="thin">
          <color indexed="64"/>
        </top>
        <bottom style="thin">
          <color indexed="64"/>
        </bottom>
      </border>
    </dxf>
    <dxf>
      <font>
        <condense val="0"/>
        <extend val="0"/>
        <color auto="1"/>
      </font>
      <fill>
        <patternFill patternType="none">
          <fgColor indexed="64"/>
          <bgColor indexed="65"/>
        </patternFill>
      </fill>
      <border>
        <left/>
        <right/>
        <top/>
        <bottom/>
      </border>
    </dxf>
    <dxf>
      <font>
        <condense val="0"/>
        <extend val="0"/>
        <color auto="1"/>
      </font>
      <fill>
        <patternFill>
          <bgColor indexed="10"/>
        </patternFill>
      </fill>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fill>
        <patternFill>
          <bgColor indexed="15"/>
        </patternFill>
      </fill>
      <border>
        <left/>
        <right/>
        <top/>
        <bottom/>
      </border>
    </dxf>
    <dxf>
      <font>
        <condense val="0"/>
        <extend val="0"/>
        <color auto="1"/>
      </font>
      <fill>
        <patternFill patternType="none">
          <fgColor indexed="64"/>
          <bgColor indexed="65"/>
        </patternFill>
      </fill>
      <border>
        <left style="thin">
          <color indexed="64"/>
        </left>
        <right/>
        <top/>
        <bottom/>
      </border>
    </dxf>
    <dxf>
      <font>
        <condense val="0"/>
        <extend val="0"/>
        <color indexed="10"/>
      </font>
    </dxf>
    <dxf>
      <font>
        <condense val="0"/>
        <extend val="0"/>
        <color auto="1"/>
      </font>
      <fill>
        <patternFill>
          <bgColor rgb="FFCCFF33"/>
        </patternFill>
      </fill>
    </dxf>
    <dxf>
      <font>
        <color auto="1"/>
        <name val="Cambria"/>
        <scheme val="none"/>
      </font>
    </dxf>
    <dxf>
      <font>
        <condense val="0"/>
        <extend val="0"/>
        <color auto="1"/>
      </font>
    </dxf>
    <dxf>
      <font>
        <strike val="0"/>
        <condense val="0"/>
        <extend val="0"/>
        <color indexed="10"/>
      </font>
    </dxf>
    <dxf>
      <font>
        <condense val="0"/>
        <extend val="0"/>
        <color indexed="10"/>
      </font>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0"/>
        </patternFill>
      </fill>
    </dxf>
    <dxf>
      <font>
        <b/>
        <i val="0"/>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ont>
        <condense val="0"/>
        <extend val="0"/>
        <color indexed="9"/>
      </font>
    </dxf>
    <dxf>
      <font>
        <condense val="0"/>
        <extend val="0"/>
        <color indexed="9"/>
      </font>
      <fill>
        <patternFill>
          <bgColor indexed="10"/>
        </patternFill>
      </fill>
    </dxf>
    <dxf>
      <fill>
        <patternFill>
          <bgColor indexed="41"/>
        </patternFill>
      </fill>
    </dxf>
    <dxf>
      <font>
        <condense val="0"/>
        <extend val="0"/>
        <color auto="1"/>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CCFF66"/>
        </patternFill>
      </fill>
    </dxf>
    <dxf>
      <font>
        <condense val="0"/>
        <extend val="0"/>
        <color auto="1"/>
      </font>
      <fill>
        <patternFill patternType="none">
          <fgColor indexed="64"/>
          <bgColor indexed="65"/>
        </patternFill>
      </fill>
    </dxf>
    <dxf>
      <fill>
        <patternFill>
          <bgColor indexed="43"/>
        </patternFill>
      </fill>
    </dxf>
    <dxf>
      <fill>
        <patternFill>
          <bgColor rgb="FFCCFF66"/>
        </patternFill>
      </fill>
    </dxf>
    <dxf>
      <font>
        <condense val="0"/>
        <extend val="0"/>
        <color auto="1"/>
      </font>
      <fill>
        <patternFill patternType="none">
          <fgColor indexed="64"/>
          <bgColor indexed="65"/>
        </patternFill>
      </fill>
    </dxf>
    <dxf>
      <fill>
        <patternFill>
          <bgColor rgb="FFCCFF33"/>
        </patternFill>
      </fill>
    </dxf>
    <dxf>
      <font>
        <condense val="0"/>
        <extend val="0"/>
        <color auto="1"/>
      </font>
      <fill>
        <patternFill patternType="none">
          <fgColor indexed="64"/>
          <bgColor indexed="65"/>
        </patternFill>
      </fill>
    </dxf>
    <dxf>
      <fill>
        <patternFill>
          <bgColor indexed="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42"/>
      </font>
    </dxf>
    <dxf>
      <font>
        <condense val="0"/>
        <extend val="0"/>
        <color indexed="9"/>
      </font>
    </dxf>
    <dxf>
      <font>
        <condense val="0"/>
        <extend val="0"/>
        <color indexed="9"/>
      </font>
    </dxf>
    <dxf>
      <font>
        <condense val="0"/>
        <extend val="0"/>
        <color indexed="42"/>
      </font>
    </dxf>
    <dxf>
      <font>
        <condense val="0"/>
        <extend val="0"/>
        <color auto="1"/>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ill>
        <patternFill>
          <bgColor indexed="10"/>
        </patternFill>
      </fill>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9"/>
      </font>
    </dxf>
    <dxf>
      <font>
        <condense val="0"/>
        <extend val="0"/>
        <color indexed="9"/>
      </font>
    </dxf>
    <dxf>
      <font>
        <condense val="0"/>
        <extend val="0"/>
        <color indexed="42"/>
      </font>
    </dxf>
    <dxf>
      <font>
        <condense val="0"/>
        <extend val="0"/>
        <color indexed="9"/>
      </font>
    </dxf>
    <dxf>
      <font>
        <condense val="0"/>
        <extend val="0"/>
        <color indexed="9"/>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9"/>
      </font>
    </dxf>
    <dxf>
      <font>
        <condense val="0"/>
        <extend val="0"/>
        <color indexed="9"/>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9"/>
      </font>
    </dxf>
    <dxf>
      <font>
        <condense val="0"/>
        <extend val="0"/>
        <color indexed="9"/>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9"/>
      </font>
    </dxf>
    <dxf>
      <font>
        <condense val="0"/>
        <extend val="0"/>
        <color indexed="9"/>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9"/>
      </font>
      <fill>
        <patternFill>
          <bgColor indexed="9"/>
        </patternFill>
      </fill>
    </dxf>
    <dxf>
      <font>
        <condense val="0"/>
        <extend val="0"/>
        <color indexed="9"/>
      </font>
      <fill>
        <patternFill>
          <bgColor indexed="9"/>
        </patternFill>
      </fill>
    </dxf>
    <dxf>
      <fill>
        <patternFill>
          <bgColor indexed="10"/>
        </patternFill>
      </fill>
    </dxf>
    <dxf>
      <font>
        <condense val="0"/>
        <extend val="0"/>
        <color indexed="9"/>
      </font>
      <fill>
        <patternFill>
          <bgColor indexed="9"/>
        </patternFill>
      </fill>
    </dxf>
    <dxf>
      <font>
        <condense val="0"/>
        <extend val="0"/>
        <color indexed="9"/>
      </font>
      <fill>
        <patternFill>
          <bgColor indexed="9"/>
        </patternFill>
      </fill>
    </dxf>
    <dxf>
      <fill>
        <patternFill>
          <bgColor indexed="10"/>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ill>
        <patternFill>
          <bgColor indexed="10"/>
        </patternFill>
      </fill>
    </dxf>
    <dxf>
      <font>
        <condense val="0"/>
        <extend val="0"/>
        <color auto="1"/>
      </font>
      <fill>
        <patternFill patternType="none">
          <bgColor indexed="65"/>
        </patternFill>
      </fill>
    </dxf>
    <dxf>
      <font>
        <condense val="0"/>
        <extend val="0"/>
        <color auto="1"/>
      </font>
      <fill>
        <patternFill>
          <bgColor rgb="FFCCFF33"/>
        </patternFill>
      </fill>
    </dxf>
    <dxf>
      <font>
        <color auto="1"/>
        <name val="Cambria"/>
        <scheme val="none"/>
      </font>
      <fill>
        <patternFill>
          <bgColor rgb="FFCCFF33"/>
        </patternFill>
      </fill>
    </dxf>
    <dxf>
      <font>
        <condense val="0"/>
        <extend val="0"/>
        <color indexed="4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ndense val="0"/>
        <extend val="0"/>
        <color indexed="9"/>
      </font>
      <fill>
        <patternFill>
          <bgColor rgb="FFFF0000"/>
        </patternFill>
      </fill>
    </dxf>
    <dxf>
      <font>
        <condense val="0"/>
        <extend val="0"/>
        <color indexed="9"/>
      </font>
      <fill>
        <patternFill patternType="solid">
          <bgColor rgb="FFFF7C8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rgb="FFCCFF33"/>
        </patternFill>
      </fill>
    </dxf>
    <dxf>
      <fill>
        <patternFill>
          <bgColor rgb="FFCCFF33"/>
        </patternFill>
      </fill>
    </dxf>
    <dxf>
      <fill>
        <patternFill>
          <bgColor rgb="FFFF0000"/>
        </patternFill>
      </fill>
    </dxf>
    <dxf>
      <fill>
        <patternFill>
          <bgColor rgb="FFFF0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
      <fill>
        <patternFill>
          <bgColor rgb="FFFF0000"/>
        </patternFill>
      </fill>
    </dxf>
    <dxf>
      <font>
        <color theme="0"/>
      </font>
      <fill>
        <patternFill>
          <bgColor rgb="FFFF5050"/>
        </patternFill>
      </fill>
    </dxf>
    <dxf>
      <font>
        <condense val="0"/>
        <extend val="0"/>
        <color indexed="9"/>
      </font>
      <fill>
        <patternFill>
          <bgColor indexed="10"/>
        </patternFill>
      </fill>
    </dxf>
    <dxf>
      <fill>
        <patternFill>
          <bgColor rgb="FFCCFF33"/>
        </patternFill>
      </fill>
    </dxf>
    <dxf>
      <fill>
        <patternFill>
          <bgColor rgb="FFCCFF33"/>
        </patternFill>
      </fill>
    </dxf>
    <dxf>
      <font>
        <condense val="0"/>
        <extend val="0"/>
        <color indexed="9"/>
      </font>
      <fill>
        <patternFill>
          <bgColor indexed="10"/>
        </patternFill>
      </fill>
    </dxf>
    <dxf>
      <font>
        <condense val="0"/>
        <extend val="0"/>
        <color indexed="9"/>
      </font>
      <fill>
        <patternFill>
          <bgColor indexed="10"/>
        </patternFill>
      </fill>
    </dxf>
    <dxf>
      <fill>
        <patternFill>
          <bgColor rgb="FFCCFF33"/>
        </patternFill>
      </fill>
    </dxf>
    <dxf>
      <fill>
        <patternFill>
          <bgColor rgb="FFCCFF3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0FF4B"/>
      <color rgb="FFFFFFA3"/>
      <color rgb="FFFFFF72"/>
      <color rgb="FFF4D2FE"/>
      <color rgb="FFFFB3FF"/>
      <color rgb="FFB4DE86"/>
      <color rgb="FFCEEAB0"/>
      <color rgb="FFFFFFE5"/>
      <color rgb="FFFFFFCC"/>
      <color rgb="FFDFFB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9022106255293457E-2"/>
          <c:y val="5.9233499865169612E-2"/>
          <c:w val="0.90230937648851195"/>
          <c:h val="0.825784674590894"/>
        </c:manualLayout>
      </c:layout>
      <c:lineChart>
        <c:grouping val="standard"/>
        <c:varyColors val="0"/>
        <c:ser>
          <c:idx val="0"/>
          <c:order val="0"/>
          <c:spPr>
            <a:ln w="38100">
              <a:solidFill>
                <a:schemeClr val="bg1">
                  <a:lumMod val="95000"/>
                </a:schemeClr>
              </a:solidFill>
            </a:ln>
          </c:spPr>
          <c:marker>
            <c:spPr>
              <a:solidFill>
                <a:schemeClr val="bg1">
                  <a:lumMod val="75000"/>
                </a:schemeClr>
              </a:solidFill>
              <a:ln w="38100">
                <a:solidFill>
                  <a:schemeClr val="bg1">
                    <a:lumMod val="95000"/>
                  </a:schemeClr>
                </a:solidFill>
              </a:ln>
            </c:spPr>
          </c:marker>
          <c:cat>
            <c:strRef>
              <c:f>'2.Ventas y Cobros (Ej 1º,2º)'!$D$90:$O$90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'2.Ventas y Cobros (Ej 1º,2º)'!$D$91:$O$91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D68-4FD9-9A88-9F566D1742AB}"/>
            </c:ext>
          </c:extLst>
        </c:ser>
        <c:dLbls>
          <c:showLegendKey val="0"/>
          <c:showVal val="0"/>
          <c:showCatName val="0"/>
          <c:showSerName val="0"/>
          <c:showPercent val="0"/>
          <c:showBubbleSize val="0"/>
        </c:dLbls>
        <c:marker val="1"/>
        <c:smooth val="0"/>
        <c:axId val="105841792"/>
        <c:axId val="105843712"/>
      </c:lineChart>
      <c:catAx>
        <c:axId val="105841792"/>
        <c:scaling>
          <c:orientation val="minMax"/>
        </c:scaling>
        <c:delete val="0"/>
        <c:axPos val="b"/>
        <c:numFmt formatCode="General" sourceLinked="1"/>
        <c:majorTickMark val="out"/>
        <c:minorTickMark val="none"/>
        <c:tickLblPos val="nextTo"/>
        <c:spPr>
          <a:solidFill>
            <a:schemeClr val="bg1">
              <a:lumMod val="95000"/>
            </a:schemeClr>
          </a:solidFill>
          <a:ln w="34925"/>
        </c:spPr>
        <c:txPr>
          <a:bodyPr rot="0" vert="horz"/>
          <a:lstStyle/>
          <a:p>
            <a:pPr>
              <a:defRPr sz="1000" b="1" i="0" u="none" strike="noStrike" baseline="0">
                <a:solidFill>
                  <a:schemeClr val="tx1"/>
                </a:solidFill>
                <a:latin typeface="Simplified Arabic Fixed"/>
                <a:ea typeface="Simplified Arabic Fixed"/>
                <a:cs typeface="Simplified Arabic Fixed"/>
              </a:defRPr>
            </a:pPr>
            <a:endParaRPr lang="es-ES"/>
          </a:p>
        </c:txPr>
        <c:crossAx val="105843712"/>
        <c:crosses val="autoZero"/>
        <c:auto val="1"/>
        <c:lblAlgn val="ctr"/>
        <c:lblOffset val="100"/>
        <c:noMultiLvlLbl val="0"/>
      </c:catAx>
      <c:valAx>
        <c:axId val="105843712"/>
        <c:scaling>
          <c:orientation val="minMax"/>
        </c:scaling>
        <c:delete val="0"/>
        <c:axPos val="l"/>
        <c:majorGridlines>
          <c:spPr>
            <a:ln>
              <a:solidFill>
                <a:srgbClr val="00B050"/>
              </a:solidFill>
            </a:ln>
          </c:spPr>
        </c:majorGridlines>
        <c:title>
          <c:tx>
            <c:rich>
              <a:bodyPr/>
              <a:lstStyle/>
              <a:p>
                <a:pPr>
                  <a:defRPr sz="1200" b="0" i="0" u="none" strike="noStrike" baseline="0">
                    <a:solidFill>
                      <a:schemeClr val="tx1">
                        <a:lumMod val="75000"/>
                        <a:lumOff val="25000"/>
                      </a:schemeClr>
                    </a:solidFill>
                    <a:latin typeface="Simplified Arabic Fixed"/>
                    <a:ea typeface="Simplified Arabic Fixed"/>
                    <a:cs typeface="Simplified Arabic Fixed"/>
                  </a:defRPr>
                </a:pPr>
                <a:r>
                  <a:rPr lang="es-ES" sz="1200">
                    <a:solidFill>
                      <a:schemeClr val="tx1">
                        <a:lumMod val="75000"/>
                        <a:lumOff val="25000"/>
                      </a:schemeClr>
                    </a:solidFill>
                  </a:rPr>
                  <a:t>% de Ventas sobre Total Anual</a:t>
                </a:r>
              </a:p>
            </c:rich>
          </c:tx>
          <c:layout>
            <c:manualLayout>
              <c:xMode val="edge"/>
              <c:yMode val="edge"/>
              <c:x val="1.6505310253939774E-2"/>
              <c:y val="0.17234291496695442"/>
            </c:manualLayout>
          </c:layout>
          <c:overlay val="0"/>
        </c:title>
        <c:numFmt formatCode="0.0%" sourceLinked="1"/>
        <c:majorTickMark val="out"/>
        <c:minorTickMark val="none"/>
        <c:tickLblPos val="nextTo"/>
        <c:spPr>
          <a:solidFill>
            <a:schemeClr val="bg1">
              <a:lumMod val="95000"/>
            </a:schemeClr>
          </a:solidFill>
        </c:spPr>
        <c:txPr>
          <a:bodyPr rot="0" vert="horz"/>
          <a:lstStyle/>
          <a:p>
            <a:pPr>
              <a:defRPr sz="1000" b="1" i="0" u="none" strike="noStrike" baseline="0">
                <a:solidFill>
                  <a:schemeClr val="tx1"/>
                </a:solidFill>
                <a:latin typeface="Simplified Arabic Fixed"/>
                <a:ea typeface="Simplified Arabic Fixed"/>
                <a:cs typeface="Simplified Arabic Fixed"/>
              </a:defRPr>
            </a:pPr>
            <a:endParaRPr lang="es-ES"/>
          </a:p>
        </c:txPr>
        <c:crossAx val="105841792"/>
        <c:crosses val="autoZero"/>
        <c:crossBetween val="between"/>
      </c:valAx>
      <c:spPr>
        <a:solidFill>
          <a:srgbClr val="92D050"/>
        </a:solidFill>
        <a:ln w="57150"/>
      </c:spPr>
    </c:plotArea>
    <c:plotVisOnly val="1"/>
    <c:dispBlanksAs val="gap"/>
    <c:showDLblsOverMax val="0"/>
  </c:chart>
  <c:spPr>
    <a:solidFill>
      <a:schemeClr val="bg1">
        <a:lumMod val="95000"/>
      </a:schemeClr>
    </a:solidFill>
  </c:spPr>
  <c:txPr>
    <a:bodyPr/>
    <a:lstStyle/>
    <a:p>
      <a:pPr>
        <a:defRPr sz="1000" b="0" i="0" u="none" strike="noStrike" baseline="0">
          <a:solidFill>
            <a:srgbClr val="000000"/>
          </a:solidFill>
          <a:latin typeface="Simplified Arabic Fixed"/>
          <a:ea typeface="Simplified Arabic Fixed"/>
          <a:cs typeface="Simplified Arabic Fixed"/>
        </a:defRPr>
      </a:pPr>
      <a:endParaRPr lang="es-ES"/>
    </a:p>
  </c:txPr>
  <c:printSettings>
    <c:headerFooter alignWithMargins="0"/>
    <c:pageMargins b="0.78740157480314965" l="0.78740157480314965" r="0.78740157480314965" t="0.78740157480314965" header="0" footer="0.39370078740157483"/>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4278134611612085E-2"/>
          <c:y val="6.3273999840928991E-2"/>
          <c:w val="0.90988170187647532"/>
          <c:h val="0.825784674590894"/>
        </c:manualLayout>
      </c:layout>
      <c:lineChart>
        <c:grouping val="standard"/>
        <c:varyColors val="0"/>
        <c:ser>
          <c:idx val="0"/>
          <c:order val="0"/>
          <c:spPr>
            <a:ln w="38100">
              <a:solidFill>
                <a:schemeClr val="bg1">
                  <a:lumMod val="95000"/>
                </a:schemeClr>
              </a:solidFill>
            </a:ln>
          </c:spPr>
          <c:marker>
            <c:spPr>
              <a:solidFill>
                <a:schemeClr val="bg1">
                  <a:lumMod val="75000"/>
                </a:schemeClr>
              </a:solidFill>
              <a:ln w="38100">
                <a:solidFill>
                  <a:schemeClr val="bg1">
                    <a:lumMod val="95000"/>
                  </a:schemeClr>
                </a:solidFill>
              </a:ln>
            </c:spPr>
          </c:marker>
          <c:cat>
            <c:strRef>
              <c:f>'2.Ventas y Cobros (Ej 1º,2º)'!$W$90:$AH$90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'2.Ventas y Cobros (Ej 1º,2º)'!$W$91:$AH$91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92A-4605-8732-B7A4778D4CB4}"/>
            </c:ext>
          </c:extLst>
        </c:ser>
        <c:dLbls>
          <c:showLegendKey val="0"/>
          <c:showVal val="0"/>
          <c:showCatName val="0"/>
          <c:showSerName val="0"/>
          <c:showPercent val="0"/>
          <c:showBubbleSize val="0"/>
        </c:dLbls>
        <c:marker val="1"/>
        <c:smooth val="0"/>
        <c:axId val="105863808"/>
        <c:axId val="105894656"/>
      </c:lineChart>
      <c:catAx>
        <c:axId val="105863808"/>
        <c:scaling>
          <c:orientation val="minMax"/>
        </c:scaling>
        <c:delete val="0"/>
        <c:axPos val="b"/>
        <c:numFmt formatCode="General" sourceLinked="1"/>
        <c:majorTickMark val="out"/>
        <c:minorTickMark val="none"/>
        <c:tickLblPos val="nextTo"/>
        <c:spPr>
          <a:solidFill>
            <a:schemeClr val="bg1">
              <a:lumMod val="95000"/>
            </a:schemeClr>
          </a:solidFill>
          <a:ln w="34925"/>
        </c:spPr>
        <c:txPr>
          <a:bodyPr rot="0" vert="horz"/>
          <a:lstStyle/>
          <a:p>
            <a:pPr>
              <a:defRPr sz="1000" b="0" i="0" u="none" strike="noStrike" baseline="0">
                <a:solidFill>
                  <a:srgbClr val="000000"/>
                </a:solidFill>
                <a:latin typeface="Simplified Arabic Fixed"/>
                <a:ea typeface="Simplified Arabic Fixed"/>
                <a:cs typeface="Simplified Arabic Fixed"/>
              </a:defRPr>
            </a:pPr>
            <a:endParaRPr lang="es-ES"/>
          </a:p>
        </c:txPr>
        <c:crossAx val="105894656"/>
        <c:crosses val="autoZero"/>
        <c:auto val="1"/>
        <c:lblAlgn val="ctr"/>
        <c:lblOffset val="100"/>
        <c:noMultiLvlLbl val="0"/>
      </c:catAx>
      <c:valAx>
        <c:axId val="105894656"/>
        <c:scaling>
          <c:orientation val="minMax"/>
        </c:scaling>
        <c:delete val="0"/>
        <c:axPos val="l"/>
        <c:majorGridlines/>
        <c:title>
          <c:tx>
            <c:rich>
              <a:bodyPr/>
              <a:lstStyle/>
              <a:p>
                <a:pPr>
                  <a:defRPr sz="1200" b="0" i="0" u="none" strike="noStrike" baseline="0">
                    <a:solidFill>
                      <a:schemeClr val="tx1">
                        <a:lumMod val="75000"/>
                        <a:lumOff val="25000"/>
                      </a:schemeClr>
                    </a:solidFill>
                    <a:latin typeface="Simplified Arabic Fixed"/>
                    <a:ea typeface="Simplified Arabic Fixed"/>
                    <a:cs typeface="Simplified Arabic Fixed"/>
                  </a:defRPr>
                </a:pPr>
                <a:r>
                  <a:rPr lang="es-ES" sz="1200">
                    <a:solidFill>
                      <a:schemeClr val="tx1">
                        <a:lumMod val="75000"/>
                        <a:lumOff val="25000"/>
                      </a:schemeClr>
                    </a:solidFill>
                  </a:rPr>
                  <a:t>% de Ventas sobre Total Anual</a:t>
                </a:r>
              </a:p>
            </c:rich>
          </c:tx>
          <c:layout>
            <c:manualLayout>
              <c:xMode val="edge"/>
              <c:yMode val="edge"/>
              <c:x val="1.6505247503248627E-2"/>
              <c:y val="0.18440149526763699"/>
            </c:manualLayout>
          </c:layout>
          <c:overlay val="0"/>
        </c:title>
        <c:numFmt formatCode="0.0%" sourceLinked="1"/>
        <c:majorTickMark val="out"/>
        <c:minorTickMark val="none"/>
        <c:tickLblPos val="nextTo"/>
        <c:spPr>
          <a:solidFill>
            <a:schemeClr val="bg1">
              <a:lumMod val="95000"/>
            </a:schemeClr>
          </a:solidFill>
        </c:spPr>
        <c:txPr>
          <a:bodyPr rot="0" vert="horz"/>
          <a:lstStyle/>
          <a:p>
            <a:pPr>
              <a:defRPr sz="1000" b="0" i="0" u="none" strike="noStrike" baseline="0">
                <a:solidFill>
                  <a:schemeClr val="tx1">
                    <a:lumMod val="75000"/>
                    <a:lumOff val="25000"/>
                  </a:schemeClr>
                </a:solidFill>
                <a:latin typeface="Simplified Arabic Fixed"/>
                <a:ea typeface="Simplified Arabic Fixed"/>
                <a:cs typeface="Simplified Arabic Fixed"/>
              </a:defRPr>
            </a:pPr>
            <a:endParaRPr lang="es-ES"/>
          </a:p>
        </c:txPr>
        <c:crossAx val="105863808"/>
        <c:crosses val="autoZero"/>
        <c:crossBetween val="between"/>
      </c:valAx>
      <c:spPr>
        <a:solidFill>
          <a:srgbClr val="92D050"/>
        </a:solidFill>
        <a:ln w="57150"/>
      </c:spPr>
    </c:plotArea>
    <c:plotVisOnly val="1"/>
    <c:dispBlanksAs val="gap"/>
    <c:showDLblsOverMax val="0"/>
  </c:chart>
  <c:spPr>
    <a:solidFill>
      <a:schemeClr val="bg1">
        <a:lumMod val="95000"/>
      </a:schemeClr>
    </a:solidFill>
  </c:spPr>
  <c:txPr>
    <a:bodyPr/>
    <a:lstStyle/>
    <a:p>
      <a:pPr>
        <a:defRPr sz="1000" b="0" i="0" u="none" strike="noStrike" baseline="0">
          <a:solidFill>
            <a:srgbClr val="000000"/>
          </a:solidFill>
          <a:latin typeface="Simplified Arabic Fixed"/>
          <a:ea typeface="Simplified Arabic Fixed"/>
          <a:cs typeface="Simplified Arabic Fixed"/>
        </a:defRPr>
      </a:pPr>
      <a:endParaRPr lang="es-ES"/>
    </a:p>
  </c:txPr>
  <c:printSettings>
    <c:headerFooter alignWithMargins="0"/>
    <c:pageMargins b="0.78740157480314965" l="0.78740157480314965" r="0.78740157480314965" t="0.78740157480314965" header="0" footer="0.39370078740157483"/>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9.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104775</xdr:rowOff>
    </xdr:from>
    <xdr:to>
      <xdr:col>9</xdr:col>
      <xdr:colOff>285749</xdr:colOff>
      <xdr:row>34</xdr:row>
      <xdr:rowOff>9525</xdr:rowOff>
    </xdr:to>
    <xdr:sp macro="" textlink="">
      <xdr:nvSpPr>
        <xdr:cNvPr id="3" name="Text Box 26">
          <a:extLst>
            <a:ext uri="{FF2B5EF4-FFF2-40B4-BE49-F238E27FC236}">
              <a16:creationId xmlns:a16="http://schemas.microsoft.com/office/drawing/2014/main" id="{00000000-0008-0000-0000-000003000000}"/>
            </a:ext>
          </a:extLst>
        </xdr:cNvPr>
        <xdr:cNvSpPr txBox="1">
          <a:spLocks noChangeArrowheads="1"/>
        </xdr:cNvSpPr>
      </xdr:nvSpPr>
      <xdr:spPr bwMode="auto">
        <a:xfrm>
          <a:off x="0" y="4324350"/>
          <a:ext cx="7496174" cy="1019175"/>
        </a:xfrm>
        <a:prstGeom prst="rect">
          <a:avLst/>
        </a:prstGeom>
        <a:noFill/>
        <a:ln>
          <a:noFill/>
        </a:ln>
        <a:effectLst/>
        <a:extLst/>
      </xdr:spPr>
      <xdr:txBody>
        <a:bodyPr vertOverflow="clip" wrap="square" lIns="91440" tIns="45720" rIns="91440" bIns="45720" anchor="t" upright="1"/>
        <a:lstStyle/>
        <a:p>
          <a:pPr algn="l" rtl="0">
            <a:defRPr sz="1000"/>
          </a:pPr>
          <a:r>
            <a:rPr lang="es-ES" sz="1050" b="0" i="0" u="none" strike="noStrike" baseline="0">
              <a:solidFill>
                <a:schemeClr val="tx1">
                  <a:lumMod val="50000"/>
                  <a:lumOff val="50000"/>
                </a:schemeClr>
              </a:solidFill>
              <a:latin typeface="Agency FB" panose="020B0503020202020204" pitchFamily="34" charset="0"/>
              <a:ea typeface="Verdana"/>
              <a:cs typeface="Verdana"/>
            </a:rPr>
            <a:t>Creadora: </a:t>
          </a:r>
          <a:r>
            <a:rPr lang="es-ES" sz="900" b="1" i="0" u="none" strike="noStrike" baseline="0">
              <a:solidFill>
                <a:schemeClr val="tx1">
                  <a:lumMod val="50000"/>
                  <a:lumOff val="50000"/>
                </a:schemeClr>
              </a:solidFill>
              <a:latin typeface="+mn-lt"/>
              <a:ea typeface="Verdana"/>
              <a:cs typeface="Shruti" panose="020B0502040204020203" pitchFamily="34" charset="0"/>
            </a:rPr>
            <a:t>Pérez Silvestre, María Vicenta</a:t>
          </a:r>
          <a:r>
            <a:rPr lang="es-ES" sz="1000" b="1" i="0" u="none" strike="noStrike" baseline="0">
              <a:solidFill>
                <a:schemeClr val="tx1">
                  <a:lumMod val="50000"/>
                  <a:lumOff val="50000"/>
                </a:schemeClr>
              </a:solidFill>
              <a:latin typeface="Agency FB" panose="020B0503020202020204" pitchFamily="34" charset="0"/>
              <a:ea typeface="Verdana"/>
              <a:cs typeface="Verdana"/>
            </a:rPr>
            <a:t> </a:t>
          </a:r>
          <a:r>
            <a:rPr lang="es-ES" sz="1000" b="0" i="0" u="none" strike="noStrike" baseline="0">
              <a:solidFill>
                <a:schemeClr val="tx1">
                  <a:lumMod val="50000"/>
                  <a:lumOff val="50000"/>
                </a:schemeClr>
              </a:solidFill>
              <a:latin typeface="Agency FB" panose="020B0503020202020204" pitchFamily="34" charset="0"/>
              <a:ea typeface="Verdana"/>
              <a:cs typeface="Verdana"/>
            </a:rPr>
            <a:t>"Plan E-Financiero (Enero 2017)</a:t>
          </a:r>
          <a:r>
            <a:rPr lang="es-ES" sz="1000" b="0" i="1" u="none" strike="noStrike" baseline="0">
              <a:solidFill>
                <a:schemeClr val="tx1">
                  <a:lumMod val="50000"/>
                  <a:lumOff val="50000"/>
                </a:schemeClr>
              </a:solidFill>
              <a:latin typeface="Agency FB" panose="020B0503020202020204" pitchFamily="34" charset="0"/>
              <a:ea typeface="Verdana"/>
              <a:cs typeface="Verdana"/>
            </a:rPr>
            <a:t>” </a:t>
          </a:r>
          <a:endParaRPr lang="es-ES" sz="1000" b="0" i="0" u="none" strike="noStrike" baseline="0">
            <a:solidFill>
              <a:schemeClr val="tx1">
                <a:lumMod val="50000"/>
                <a:lumOff val="50000"/>
              </a:schemeClr>
            </a:solidFill>
            <a:latin typeface="Agency FB" panose="020B0503020202020204" pitchFamily="34" charset="0"/>
            <a:ea typeface="Verdana"/>
            <a:cs typeface="Verdana"/>
          </a:endParaRPr>
        </a:p>
        <a:p>
          <a:pPr algn="l" rtl="0">
            <a:lnSpc>
              <a:spcPts val="1000"/>
            </a:lnSpc>
            <a:defRPr sz="1000"/>
          </a:pPr>
          <a:r>
            <a:rPr lang="es-ES" sz="800" b="0" i="0" u="none" strike="noStrike" baseline="0">
              <a:solidFill>
                <a:schemeClr val="tx1">
                  <a:lumMod val="50000"/>
                  <a:lumOff val="50000"/>
                </a:schemeClr>
              </a:solidFill>
              <a:latin typeface="Sylfaen" panose="010A0502050306030303" pitchFamily="18" charset="0"/>
              <a:ea typeface="Verdana"/>
              <a:cs typeface="Verdana"/>
            </a:rPr>
            <a:t> </a:t>
          </a:r>
        </a:p>
        <a:p>
          <a:pPr algn="l" rtl="0">
            <a:lnSpc>
              <a:spcPts val="1000"/>
            </a:lnSpc>
            <a:defRPr sz="1000"/>
          </a:pPr>
          <a:endParaRPr lang="es-ES" sz="800" b="0" i="0" u="none" strike="noStrike" baseline="0">
            <a:solidFill>
              <a:schemeClr val="tx1">
                <a:lumMod val="50000"/>
                <a:lumOff val="50000"/>
              </a:schemeClr>
            </a:solidFill>
            <a:latin typeface="Sylfaen" panose="010A0502050306030303" pitchFamily="18" charset="0"/>
            <a:ea typeface="Verdana"/>
            <a:cs typeface="Verdana"/>
          </a:endParaRPr>
        </a:p>
        <a:p>
          <a:pPr algn="l" rtl="0">
            <a:defRPr sz="1000"/>
          </a:pPr>
          <a:endParaRPr lang="es-ES" sz="800" b="0" i="0" u="none" strike="noStrike" baseline="0">
            <a:solidFill>
              <a:schemeClr val="tx1">
                <a:lumMod val="50000"/>
                <a:lumOff val="50000"/>
              </a:schemeClr>
            </a:solidFill>
            <a:latin typeface="Sylfaen" panose="010A0502050306030303" pitchFamily="18" charset="0"/>
            <a:ea typeface="Verdana"/>
            <a:cs typeface="Verdana"/>
          </a:endParaRPr>
        </a:p>
        <a:p>
          <a:r>
            <a:rPr lang="es-ES" sz="1000">
              <a:solidFill>
                <a:schemeClr val="tx1">
                  <a:lumMod val="50000"/>
                  <a:lumOff val="50000"/>
                </a:schemeClr>
              </a:solidFill>
              <a:effectLst/>
              <a:latin typeface="Agency FB" panose="020B0503020202020204" pitchFamily="34" charset="0"/>
              <a:ea typeface="+mn-ea"/>
              <a:cs typeface="+mn-cs"/>
            </a:rPr>
            <a:t>Esta publicación está bajo licencia Creative Commons,</a:t>
          </a:r>
          <a:r>
            <a:rPr lang="es-ES" sz="1000" baseline="0">
              <a:solidFill>
                <a:schemeClr val="tx1">
                  <a:lumMod val="50000"/>
                  <a:lumOff val="50000"/>
                </a:schemeClr>
              </a:solidFill>
              <a:effectLst/>
              <a:latin typeface="Agency FB" panose="020B0503020202020204" pitchFamily="34" charset="0"/>
              <a:ea typeface="+mn-ea"/>
              <a:cs typeface="+mn-cs"/>
            </a:rPr>
            <a:t> </a:t>
          </a:r>
          <a:r>
            <a:rPr lang="es-ES" sz="1000">
              <a:solidFill>
                <a:schemeClr val="tx1">
                  <a:lumMod val="50000"/>
                  <a:lumOff val="50000"/>
                </a:schemeClr>
              </a:solidFill>
              <a:effectLst/>
              <a:latin typeface="Agency FB" panose="020B0503020202020204" pitchFamily="34" charset="0"/>
              <a:ea typeface="+mn-ea"/>
              <a:cs typeface="+mn-cs"/>
            </a:rPr>
            <a:t>Reconocimiento, Nocomercial, Compartirigual,(by-nc-sa). Usted puede usar, copiar y difundir este</a:t>
          </a:r>
          <a:r>
            <a:rPr lang="es-ES" sz="1000" baseline="0">
              <a:solidFill>
                <a:schemeClr val="tx1">
                  <a:lumMod val="50000"/>
                  <a:lumOff val="50000"/>
                </a:schemeClr>
              </a:solidFill>
              <a:effectLst/>
              <a:latin typeface="Agency FB" panose="020B0503020202020204" pitchFamily="34" charset="0"/>
              <a:ea typeface="+mn-ea"/>
              <a:cs typeface="+mn-cs"/>
            </a:rPr>
            <a:t> </a:t>
          </a:r>
          <a:r>
            <a:rPr lang="es-ES" sz="1000">
              <a:solidFill>
                <a:schemeClr val="tx1">
                  <a:lumMod val="50000"/>
                  <a:lumOff val="50000"/>
                </a:schemeClr>
              </a:solidFill>
              <a:effectLst/>
              <a:latin typeface="Agency FB" panose="020B0503020202020204" pitchFamily="34" charset="0"/>
              <a:ea typeface="+mn-ea"/>
              <a:cs typeface="+mn-cs"/>
            </a:rPr>
            <a:t>documento o parte del mismo siempre y cuando se</a:t>
          </a:r>
          <a:r>
            <a:rPr lang="es-ES" sz="1000" baseline="0">
              <a:solidFill>
                <a:schemeClr val="tx1">
                  <a:lumMod val="50000"/>
                  <a:lumOff val="50000"/>
                </a:schemeClr>
              </a:solidFill>
              <a:effectLst/>
              <a:latin typeface="Agency FB" panose="020B0503020202020204" pitchFamily="34" charset="0"/>
              <a:ea typeface="+mn-ea"/>
              <a:cs typeface="+mn-cs"/>
            </a:rPr>
            <a:t> </a:t>
          </a:r>
          <a:r>
            <a:rPr lang="es-ES" sz="1000">
              <a:solidFill>
                <a:schemeClr val="tx1">
                  <a:lumMod val="50000"/>
                  <a:lumOff val="50000"/>
                </a:schemeClr>
              </a:solidFill>
              <a:effectLst/>
              <a:latin typeface="Agency FB" panose="020B0503020202020204" pitchFamily="34" charset="0"/>
              <a:ea typeface="+mn-ea"/>
              <a:cs typeface="+mn-cs"/>
            </a:rPr>
            <a:t>mencione su origen, no se use de forma comercial</a:t>
          </a:r>
          <a:r>
            <a:rPr lang="es-ES" sz="1000" baseline="0">
              <a:solidFill>
                <a:schemeClr val="tx1">
                  <a:lumMod val="50000"/>
                  <a:lumOff val="50000"/>
                </a:schemeClr>
              </a:solidFill>
              <a:effectLst/>
              <a:latin typeface="Agency FB" panose="020B0503020202020204" pitchFamily="34" charset="0"/>
              <a:ea typeface="+mn-ea"/>
              <a:cs typeface="+mn-cs"/>
            </a:rPr>
            <a:t> </a:t>
          </a:r>
          <a:r>
            <a:rPr lang="es-ES" sz="1000">
              <a:solidFill>
                <a:schemeClr val="tx1">
                  <a:lumMod val="50000"/>
                  <a:lumOff val="50000"/>
                </a:schemeClr>
              </a:solidFill>
              <a:effectLst/>
              <a:latin typeface="Agency FB" panose="020B0503020202020204" pitchFamily="34" charset="0"/>
              <a:ea typeface="+mn-ea"/>
              <a:cs typeface="+mn-cs"/>
            </a:rPr>
            <a:t>y no se modifique su licencia.</a:t>
          </a:r>
          <a:r>
            <a:rPr lang="es-ES" sz="1000" baseline="0">
              <a:solidFill>
                <a:schemeClr val="tx1">
                  <a:lumMod val="50000"/>
                  <a:lumOff val="50000"/>
                </a:schemeClr>
              </a:solidFill>
              <a:effectLst/>
              <a:latin typeface="Agency FB" panose="020B0503020202020204" pitchFamily="34" charset="0"/>
              <a:ea typeface="+mn-ea"/>
              <a:cs typeface="+mn-cs"/>
            </a:rPr>
            <a:t> </a:t>
          </a:r>
          <a:r>
            <a:rPr lang="es-ES" sz="1000" u="sng">
              <a:solidFill>
                <a:schemeClr val="tx1">
                  <a:lumMod val="50000"/>
                  <a:lumOff val="50000"/>
                </a:schemeClr>
              </a:solidFill>
              <a:effectLst/>
              <a:latin typeface="Agency FB" panose="020B0503020202020204" pitchFamily="34" charset="0"/>
              <a:ea typeface="+mn-ea"/>
              <a:cs typeface="+mn-cs"/>
              <a:hlinkClick xmlns:r="http://schemas.openxmlformats.org/officeDocument/2006/relationships" r:id=""/>
            </a:rPr>
            <a:t>http://creativecommons.org/licenses/by-nc-sa/3.0/es/</a:t>
          </a:r>
          <a:endParaRPr lang="es-ES" sz="1000">
            <a:solidFill>
              <a:schemeClr val="tx1">
                <a:lumMod val="50000"/>
                <a:lumOff val="50000"/>
              </a:schemeClr>
            </a:solidFill>
            <a:effectLst/>
            <a:latin typeface="Agency FB" panose="020B0503020202020204" pitchFamily="34" charset="0"/>
            <a:ea typeface="+mn-ea"/>
            <a:cs typeface="+mn-cs"/>
          </a:endParaRPr>
        </a:p>
        <a:p>
          <a:pPr algn="l" rtl="0">
            <a:defRPr sz="1000"/>
          </a:pPr>
          <a:endParaRPr lang="es-ES" sz="800" b="0" i="0" u="none" strike="noStrike" baseline="0">
            <a:solidFill>
              <a:srgbClr val="000000"/>
            </a:solidFill>
            <a:latin typeface="Sylfaen" panose="010A0502050306030303" pitchFamily="18" charset="0"/>
            <a:ea typeface="Verdana"/>
            <a:cs typeface="Verdana"/>
          </a:endParaRPr>
        </a:p>
      </xdr:txBody>
    </xdr:sp>
    <xdr:clientData/>
  </xdr:twoCellAnchor>
  <xdr:twoCellAnchor editAs="oneCell">
    <xdr:from>
      <xdr:col>4</xdr:col>
      <xdr:colOff>314325</xdr:colOff>
      <xdr:row>26</xdr:row>
      <xdr:rowOff>28575</xdr:rowOff>
    </xdr:from>
    <xdr:to>
      <xdr:col>4</xdr:col>
      <xdr:colOff>561975</xdr:colOff>
      <xdr:row>27</xdr:row>
      <xdr:rowOff>66675</xdr:rowOff>
    </xdr:to>
    <xdr:pic>
      <xdr:nvPicPr>
        <xdr:cNvPr id="24899095" name="3 Imagen" descr="Logo1">
          <a:extLst>
            <a:ext uri="{FF2B5EF4-FFF2-40B4-BE49-F238E27FC236}">
              <a16:creationId xmlns:a16="http://schemas.microsoft.com/office/drawing/2014/main" id="{00000000-0008-0000-0000-000017EE7B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4371975"/>
          <a:ext cx="2476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27</xdr:row>
      <xdr:rowOff>104775</xdr:rowOff>
    </xdr:from>
    <xdr:to>
      <xdr:col>1</xdr:col>
      <xdr:colOff>295275</xdr:colOff>
      <xdr:row>30</xdr:row>
      <xdr:rowOff>76200</xdr:rowOff>
    </xdr:to>
    <xdr:pic>
      <xdr:nvPicPr>
        <xdr:cNvPr id="24899096" name="Imagen 1">
          <a:extLst>
            <a:ext uri="{FF2B5EF4-FFF2-40B4-BE49-F238E27FC236}">
              <a16:creationId xmlns:a16="http://schemas.microsoft.com/office/drawing/2014/main" id="{00000000-0008-0000-0000-000018EE7B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4572000"/>
          <a:ext cx="9620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2</xdr:row>
      <xdr:rowOff>28575</xdr:rowOff>
    </xdr:from>
    <xdr:to>
      <xdr:col>8</xdr:col>
      <xdr:colOff>257175</xdr:colOff>
      <xdr:row>6</xdr:row>
      <xdr:rowOff>190500</xdr:rowOff>
    </xdr:to>
    <xdr:grpSp>
      <xdr:nvGrpSpPr>
        <xdr:cNvPr id="24899097" name="2 Grupo">
          <a:extLst>
            <a:ext uri="{FF2B5EF4-FFF2-40B4-BE49-F238E27FC236}">
              <a16:creationId xmlns:a16="http://schemas.microsoft.com/office/drawing/2014/main" id="{00000000-0008-0000-0000-000019EE7B01}"/>
            </a:ext>
          </a:extLst>
        </xdr:cNvPr>
        <xdr:cNvGrpSpPr>
          <a:grpSpLocks/>
        </xdr:cNvGrpSpPr>
      </xdr:nvGrpSpPr>
      <xdr:grpSpPr bwMode="auto">
        <a:xfrm>
          <a:off x="819150" y="276225"/>
          <a:ext cx="6276975" cy="809625"/>
          <a:chOff x="0" y="0"/>
          <a:chExt cx="7419975" cy="1123950"/>
        </a:xfrm>
      </xdr:grpSpPr>
      <xdr:pic>
        <xdr:nvPicPr>
          <xdr:cNvPr id="24899098" name="Picture 2" descr="Nuevo Logo FSE 2016">
            <a:extLst>
              <a:ext uri="{FF2B5EF4-FFF2-40B4-BE49-F238E27FC236}">
                <a16:creationId xmlns:a16="http://schemas.microsoft.com/office/drawing/2014/main" id="{00000000-0008-0000-0000-00001AEE7B0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14925" y="219075"/>
            <a:ext cx="2305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899099" name="11 Imagen">
            <a:extLst>
              <a:ext uri="{FF2B5EF4-FFF2-40B4-BE49-F238E27FC236}">
                <a16:creationId xmlns:a16="http://schemas.microsoft.com/office/drawing/2014/main" id="{00000000-0008-0000-0000-00001BEE7B0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05050" y="238125"/>
            <a:ext cx="2628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899100" name="Picture 4" descr="\\eoi.es\dfs\FSE\POEFE CW\COMUNICACION\LOGO_gowork_ponerSEDE.jpg">
            <a:extLst>
              <a:ext uri="{FF2B5EF4-FFF2-40B4-BE49-F238E27FC236}">
                <a16:creationId xmlns:a16="http://schemas.microsoft.com/office/drawing/2014/main" id="{00000000-0008-0000-0000-00001CEE7B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21717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1746250</xdr:colOff>
      <xdr:row>3</xdr:row>
      <xdr:rowOff>158750</xdr:rowOff>
    </xdr:from>
    <xdr:to>
      <xdr:col>0</xdr:col>
      <xdr:colOff>2727325</xdr:colOff>
      <xdr:row>4</xdr:row>
      <xdr:rowOff>184150</xdr:rowOff>
    </xdr:to>
    <xdr:sp macro="" textlink="">
      <xdr:nvSpPr>
        <xdr:cNvPr id="6" name="Flecha: a la derecha 8">
          <a:extLst>
            <a:ext uri="{FF2B5EF4-FFF2-40B4-BE49-F238E27FC236}">
              <a16:creationId xmlns:a16="http://schemas.microsoft.com/office/drawing/2014/main" id="{00000000-0008-0000-0900-000006000000}"/>
            </a:ext>
          </a:extLst>
        </xdr:cNvPr>
        <xdr:cNvSpPr>
          <a:spLocks noChangeArrowheads="1"/>
        </xdr:cNvSpPr>
      </xdr:nvSpPr>
      <xdr:spPr bwMode="auto">
        <a:xfrm>
          <a:off x="1746250" y="730250"/>
          <a:ext cx="981075" cy="390525"/>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twoCellAnchor editAs="oneCell">
    <xdr:from>
      <xdr:col>0</xdr:col>
      <xdr:colOff>0</xdr:colOff>
      <xdr:row>0</xdr:row>
      <xdr:rowOff>0</xdr:rowOff>
    </xdr:from>
    <xdr:to>
      <xdr:col>0</xdr:col>
      <xdr:colOff>252046</xdr:colOff>
      <xdr:row>0</xdr:row>
      <xdr:rowOff>161925</xdr:rowOff>
    </xdr:to>
    <xdr:pic>
      <xdr:nvPicPr>
        <xdr:cNvPr id="3" name="3 Imagen" descr="Logo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046"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1038225</xdr:colOff>
      <xdr:row>0</xdr:row>
      <xdr:rowOff>28575</xdr:rowOff>
    </xdr:from>
    <xdr:to>
      <xdr:col>12</xdr:col>
      <xdr:colOff>28575</xdr:colOff>
      <xdr:row>1</xdr:row>
      <xdr:rowOff>28575</xdr:rowOff>
    </xdr:to>
    <xdr:pic>
      <xdr:nvPicPr>
        <xdr:cNvPr id="14305760" name="3 Imagen" descr="Logo1">
          <a:extLst>
            <a:ext uri="{FF2B5EF4-FFF2-40B4-BE49-F238E27FC236}">
              <a16:creationId xmlns:a16="http://schemas.microsoft.com/office/drawing/2014/main" id="{00000000-0008-0000-0A00-0000E049D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06275" y="28575"/>
          <a:ext cx="5143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762000</xdr:colOff>
      <xdr:row>0</xdr:row>
      <xdr:rowOff>9525</xdr:rowOff>
    </xdr:from>
    <xdr:to>
      <xdr:col>3</xdr:col>
      <xdr:colOff>180975</xdr:colOff>
      <xdr:row>1</xdr:row>
      <xdr:rowOff>9525</xdr:rowOff>
    </xdr:to>
    <xdr:pic>
      <xdr:nvPicPr>
        <xdr:cNvPr id="26237979" name="3 Imagen" descr="Logo1">
          <a:extLst>
            <a:ext uri="{FF2B5EF4-FFF2-40B4-BE49-F238E27FC236}">
              <a16:creationId xmlns:a16="http://schemas.microsoft.com/office/drawing/2014/main" id="{00000000-0008-0000-0B00-00001B5C9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9525"/>
          <a:ext cx="5143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742950</xdr:colOff>
      <xdr:row>0</xdr:row>
      <xdr:rowOff>0</xdr:rowOff>
    </xdr:from>
    <xdr:to>
      <xdr:col>16</xdr:col>
      <xdr:colOff>1257300</xdr:colOff>
      <xdr:row>1</xdr:row>
      <xdr:rowOff>0</xdr:rowOff>
    </xdr:to>
    <xdr:pic>
      <xdr:nvPicPr>
        <xdr:cNvPr id="14304735" name="3 Imagen" descr="Logo1">
          <a:extLst>
            <a:ext uri="{FF2B5EF4-FFF2-40B4-BE49-F238E27FC236}">
              <a16:creationId xmlns:a16="http://schemas.microsoft.com/office/drawing/2014/main" id="{00000000-0008-0000-0C00-0000DF45D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16125" y="0"/>
          <a:ext cx="5143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514350</xdr:colOff>
      <xdr:row>0</xdr:row>
      <xdr:rowOff>171450</xdr:rowOff>
    </xdr:to>
    <xdr:pic>
      <xdr:nvPicPr>
        <xdr:cNvPr id="14306783" name="3 Imagen" descr="Logo1">
          <a:extLst>
            <a:ext uri="{FF2B5EF4-FFF2-40B4-BE49-F238E27FC236}">
              <a16:creationId xmlns:a16="http://schemas.microsoft.com/office/drawing/2014/main" id="{00000000-0008-0000-0D00-0000DF4DD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44350" y="0"/>
          <a:ext cx="514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142875</xdr:colOff>
      <xdr:row>0</xdr:row>
      <xdr:rowOff>0</xdr:rowOff>
    </xdr:from>
    <xdr:to>
      <xdr:col>11</xdr:col>
      <xdr:colOff>657225</xdr:colOff>
      <xdr:row>0</xdr:row>
      <xdr:rowOff>180975</xdr:rowOff>
    </xdr:to>
    <xdr:pic>
      <xdr:nvPicPr>
        <xdr:cNvPr id="14307807" name="3 Imagen" descr="Logo1">
          <a:extLst>
            <a:ext uri="{FF2B5EF4-FFF2-40B4-BE49-F238E27FC236}">
              <a16:creationId xmlns:a16="http://schemas.microsoft.com/office/drawing/2014/main" id="{00000000-0008-0000-0E00-0000DF51D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6175" y="0"/>
          <a:ext cx="5143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13</xdr:col>
      <xdr:colOff>247650</xdr:colOff>
      <xdr:row>0</xdr:row>
      <xdr:rowOff>161925</xdr:rowOff>
    </xdr:to>
    <xdr:pic>
      <xdr:nvPicPr>
        <xdr:cNvPr id="2724804" name="3 Imagen" descr="Logo1">
          <a:extLst>
            <a:ext uri="{FF2B5EF4-FFF2-40B4-BE49-F238E27FC236}">
              <a16:creationId xmlns:a16="http://schemas.microsoft.com/office/drawing/2014/main" id="{00000000-0008-0000-0F00-0000C4932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16075" y="0"/>
          <a:ext cx="2476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115766</xdr:colOff>
      <xdr:row>0</xdr:row>
      <xdr:rowOff>58615</xdr:rowOff>
    </xdr:from>
    <xdr:to>
      <xdr:col>0</xdr:col>
      <xdr:colOff>363416</xdr:colOff>
      <xdr:row>1</xdr:row>
      <xdr:rowOff>15386</xdr:rowOff>
    </xdr:to>
    <xdr:pic>
      <xdr:nvPicPr>
        <xdr:cNvPr id="16932194" name="3 Imagen" descr="Logo1">
          <a:extLst>
            <a:ext uri="{FF2B5EF4-FFF2-40B4-BE49-F238E27FC236}">
              <a16:creationId xmlns:a16="http://schemas.microsoft.com/office/drawing/2014/main" id="{00000000-0008-0000-1000-0000625D02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766" y="58615"/>
          <a:ext cx="2476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2242039</xdr:colOff>
      <xdr:row>2</xdr:row>
      <xdr:rowOff>175846</xdr:rowOff>
    </xdr:from>
    <xdr:to>
      <xdr:col>0</xdr:col>
      <xdr:colOff>3223114</xdr:colOff>
      <xdr:row>3</xdr:row>
      <xdr:rowOff>200025</xdr:rowOff>
    </xdr:to>
    <xdr:sp macro="" textlink="">
      <xdr:nvSpPr>
        <xdr:cNvPr id="3" name="Flecha: a la derecha 8">
          <a:extLst>
            <a:ext uri="{FF2B5EF4-FFF2-40B4-BE49-F238E27FC236}">
              <a16:creationId xmlns:a16="http://schemas.microsoft.com/office/drawing/2014/main" id="{00000000-0008-0000-1000-000003000000}"/>
            </a:ext>
          </a:extLst>
        </xdr:cNvPr>
        <xdr:cNvSpPr>
          <a:spLocks noChangeArrowheads="1"/>
        </xdr:cNvSpPr>
      </xdr:nvSpPr>
      <xdr:spPr bwMode="auto">
        <a:xfrm>
          <a:off x="2242039" y="586154"/>
          <a:ext cx="981075" cy="390525"/>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206375</xdr:colOff>
      <xdr:row>3</xdr:row>
      <xdr:rowOff>31750</xdr:rowOff>
    </xdr:from>
    <xdr:to>
      <xdr:col>1</xdr:col>
      <xdr:colOff>6351</xdr:colOff>
      <xdr:row>3</xdr:row>
      <xdr:rowOff>396875</xdr:rowOff>
    </xdr:to>
    <xdr:sp macro="" textlink="">
      <xdr:nvSpPr>
        <xdr:cNvPr id="4" name="Flecha: a la derecha 8">
          <a:extLst>
            <a:ext uri="{FF2B5EF4-FFF2-40B4-BE49-F238E27FC236}">
              <a16:creationId xmlns:a16="http://schemas.microsoft.com/office/drawing/2014/main" id="{00000000-0008-0000-1100-000004000000}"/>
            </a:ext>
          </a:extLst>
        </xdr:cNvPr>
        <xdr:cNvSpPr>
          <a:spLocks noChangeArrowheads="1"/>
        </xdr:cNvSpPr>
      </xdr:nvSpPr>
      <xdr:spPr bwMode="auto">
        <a:xfrm>
          <a:off x="206375" y="714375"/>
          <a:ext cx="768351" cy="365125"/>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twoCellAnchor editAs="oneCell">
    <xdr:from>
      <xdr:col>0</xdr:col>
      <xdr:colOff>95250</xdr:colOff>
      <xdr:row>0</xdr:row>
      <xdr:rowOff>108857</xdr:rowOff>
    </xdr:from>
    <xdr:to>
      <xdr:col>0</xdr:col>
      <xdr:colOff>342900</xdr:colOff>
      <xdr:row>1</xdr:row>
      <xdr:rowOff>108717</xdr:rowOff>
    </xdr:to>
    <xdr:pic>
      <xdr:nvPicPr>
        <xdr:cNvPr id="6" name="3 Imagen" descr="Logo1">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08857"/>
          <a:ext cx="247650" cy="163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598714</xdr:colOff>
      <xdr:row>12</xdr:row>
      <xdr:rowOff>13607</xdr:rowOff>
    </xdr:from>
    <xdr:to>
      <xdr:col>3</xdr:col>
      <xdr:colOff>625929</xdr:colOff>
      <xdr:row>25</xdr:row>
      <xdr:rowOff>108857</xdr:rowOff>
    </xdr:to>
    <xdr:cxnSp macro="">
      <xdr:nvCxnSpPr>
        <xdr:cNvPr id="8" name="Conector recto de flecha 7">
          <a:extLst>
            <a:ext uri="{FF2B5EF4-FFF2-40B4-BE49-F238E27FC236}">
              <a16:creationId xmlns:a16="http://schemas.microsoft.com/office/drawing/2014/main" id="{00000000-0008-0000-1100-000008000000}"/>
            </a:ext>
          </a:extLst>
        </xdr:cNvPr>
        <xdr:cNvCxnSpPr/>
      </xdr:nvCxnSpPr>
      <xdr:spPr bwMode="auto">
        <a:xfrm flipH="1" flipV="1">
          <a:off x="5075464" y="2925536"/>
          <a:ext cx="27215" cy="3265714"/>
        </a:xfrm>
        <a:prstGeom prst="straightConnector1">
          <a:avLst/>
        </a:prstGeom>
        <a:solidFill>
          <a:srgbClr val="090000"/>
        </a:solidFill>
        <a:ln w="9525" cap="flat" cmpd="sng" algn="ctr">
          <a:solidFill>
            <a:schemeClr val="bg1">
              <a:lumMod val="50000"/>
            </a:schemeClr>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544286</xdr:colOff>
      <xdr:row>12</xdr:row>
      <xdr:rowOff>27214</xdr:rowOff>
    </xdr:from>
    <xdr:to>
      <xdr:col>6</xdr:col>
      <xdr:colOff>571501</xdr:colOff>
      <xdr:row>25</xdr:row>
      <xdr:rowOff>122464</xdr:rowOff>
    </xdr:to>
    <xdr:cxnSp macro="">
      <xdr:nvCxnSpPr>
        <xdr:cNvPr id="9" name="Conector recto de flecha 8">
          <a:extLst>
            <a:ext uri="{FF2B5EF4-FFF2-40B4-BE49-F238E27FC236}">
              <a16:creationId xmlns:a16="http://schemas.microsoft.com/office/drawing/2014/main" id="{00000000-0008-0000-1100-000009000000}"/>
            </a:ext>
          </a:extLst>
        </xdr:cNvPr>
        <xdr:cNvCxnSpPr/>
      </xdr:nvCxnSpPr>
      <xdr:spPr bwMode="auto">
        <a:xfrm flipH="1" flipV="1">
          <a:off x="7592786" y="2939143"/>
          <a:ext cx="27215" cy="3265714"/>
        </a:xfrm>
        <a:prstGeom prst="straightConnector1">
          <a:avLst/>
        </a:prstGeom>
        <a:solidFill>
          <a:srgbClr val="090000"/>
        </a:solidFill>
        <a:ln w="9525" cap="flat" cmpd="sng" algn="ctr">
          <a:solidFill>
            <a:schemeClr val="bg1">
              <a:lumMod val="50000"/>
            </a:schemeClr>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517071</xdr:colOff>
      <xdr:row>12</xdr:row>
      <xdr:rowOff>0</xdr:rowOff>
    </xdr:from>
    <xdr:to>
      <xdr:col>9</xdr:col>
      <xdr:colOff>544286</xdr:colOff>
      <xdr:row>25</xdr:row>
      <xdr:rowOff>95250</xdr:rowOff>
    </xdr:to>
    <xdr:cxnSp macro="">
      <xdr:nvCxnSpPr>
        <xdr:cNvPr id="10" name="Conector recto de flecha 9">
          <a:extLst>
            <a:ext uri="{FF2B5EF4-FFF2-40B4-BE49-F238E27FC236}">
              <a16:creationId xmlns:a16="http://schemas.microsoft.com/office/drawing/2014/main" id="{00000000-0008-0000-1100-00000A000000}"/>
            </a:ext>
          </a:extLst>
        </xdr:cNvPr>
        <xdr:cNvCxnSpPr/>
      </xdr:nvCxnSpPr>
      <xdr:spPr bwMode="auto">
        <a:xfrm flipH="1" flipV="1">
          <a:off x="10137321" y="2911929"/>
          <a:ext cx="27215" cy="3265714"/>
        </a:xfrm>
        <a:prstGeom prst="straightConnector1">
          <a:avLst/>
        </a:prstGeom>
        <a:solidFill>
          <a:srgbClr val="090000"/>
        </a:solidFill>
        <a:ln w="9525" cap="flat" cmpd="sng" algn="ctr">
          <a:solidFill>
            <a:schemeClr val="bg1">
              <a:lumMod val="50000"/>
            </a:schemeClr>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180975</xdr:colOff>
      <xdr:row>21</xdr:row>
      <xdr:rowOff>180975</xdr:rowOff>
    </xdr:from>
    <xdr:to>
      <xdr:col>15</xdr:col>
      <xdr:colOff>9525</xdr:colOff>
      <xdr:row>21</xdr:row>
      <xdr:rowOff>180975</xdr:rowOff>
    </xdr:to>
    <xdr:cxnSp macro="">
      <xdr:nvCxnSpPr>
        <xdr:cNvPr id="11" name="Conector recto de flecha 14">
          <a:extLst>
            <a:ext uri="{FF2B5EF4-FFF2-40B4-BE49-F238E27FC236}">
              <a16:creationId xmlns:a16="http://schemas.microsoft.com/office/drawing/2014/main" id="{00000000-0008-0000-1100-00000B000000}"/>
            </a:ext>
          </a:extLst>
        </xdr:cNvPr>
        <xdr:cNvCxnSpPr>
          <a:cxnSpLocks noChangeShapeType="1"/>
        </xdr:cNvCxnSpPr>
      </xdr:nvCxnSpPr>
      <xdr:spPr bwMode="auto">
        <a:xfrm>
          <a:off x="20631150" y="5029200"/>
          <a:ext cx="466725" cy="0"/>
        </a:xfrm>
        <a:prstGeom prst="straightConnector1">
          <a:avLst/>
        </a:prstGeom>
        <a:noFill/>
        <a:ln w="9525" algn="ctr">
          <a:solidFill>
            <a:schemeClr val="bg1">
              <a:lumMod val="50000"/>
            </a:schemeClr>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174172</xdr:colOff>
      <xdr:row>21</xdr:row>
      <xdr:rowOff>182335</xdr:rowOff>
    </xdr:from>
    <xdr:to>
      <xdr:col>14</xdr:col>
      <xdr:colOff>190500</xdr:colOff>
      <xdr:row>47</xdr:row>
      <xdr:rowOff>95250</xdr:rowOff>
    </xdr:to>
    <xdr:cxnSp macro="">
      <xdr:nvCxnSpPr>
        <xdr:cNvPr id="3" name="Conector recto 2">
          <a:extLst>
            <a:ext uri="{FF2B5EF4-FFF2-40B4-BE49-F238E27FC236}">
              <a16:creationId xmlns:a16="http://schemas.microsoft.com/office/drawing/2014/main" id="{00000000-0008-0000-1100-000003000000}"/>
            </a:ext>
          </a:extLst>
        </xdr:cNvPr>
        <xdr:cNvCxnSpPr/>
      </xdr:nvCxnSpPr>
      <xdr:spPr bwMode="auto">
        <a:xfrm>
          <a:off x="13471072" y="5344885"/>
          <a:ext cx="16328" cy="5951765"/>
        </a:xfrm>
        <a:prstGeom prst="line">
          <a:avLst/>
        </a:prstGeom>
        <a:solidFill>
          <a:srgbClr val="090000"/>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203200</xdr:colOff>
      <xdr:row>47</xdr:row>
      <xdr:rowOff>79375</xdr:rowOff>
    </xdr:from>
    <xdr:to>
      <xdr:col>14</xdr:col>
      <xdr:colOff>660400</xdr:colOff>
      <xdr:row>47</xdr:row>
      <xdr:rowOff>79375</xdr:rowOff>
    </xdr:to>
    <xdr:cxnSp macro="">
      <xdr:nvCxnSpPr>
        <xdr:cNvPr id="15" name="Conector recto 14">
          <a:extLst>
            <a:ext uri="{FF2B5EF4-FFF2-40B4-BE49-F238E27FC236}">
              <a16:creationId xmlns:a16="http://schemas.microsoft.com/office/drawing/2014/main" id="{00000000-0008-0000-1100-00000F000000}"/>
            </a:ext>
          </a:extLst>
        </xdr:cNvPr>
        <xdr:cNvCxnSpPr/>
      </xdr:nvCxnSpPr>
      <xdr:spPr bwMode="auto">
        <a:xfrm>
          <a:off x="13427075" y="11334750"/>
          <a:ext cx="457200" cy="0"/>
        </a:xfrm>
        <a:prstGeom prst="line">
          <a:avLst/>
        </a:prstGeom>
        <a:solidFill>
          <a:srgbClr val="090000"/>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222250</xdr:colOff>
      <xdr:row>3</xdr:row>
      <xdr:rowOff>47625</xdr:rowOff>
    </xdr:from>
    <xdr:to>
      <xdr:col>14</xdr:col>
      <xdr:colOff>22226</xdr:colOff>
      <xdr:row>3</xdr:row>
      <xdr:rowOff>412750</xdr:rowOff>
    </xdr:to>
    <xdr:sp macro="" textlink="">
      <xdr:nvSpPr>
        <xdr:cNvPr id="16" name="Flecha: a la derecha 8">
          <a:extLst>
            <a:ext uri="{FF2B5EF4-FFF2-40B4-BE49-F238E27FC236}">
              <a16:creationId xmlns:a16="http://schemas.microsoft.com/office/drawing/2014/main" id="{00000000-0008-0000-1100-000010000000}"/>
            </a:ext>
          </a:extLst>
        </xdr:cNvPr>
        <xdr:cNvSpPr>
          <a:spLocks noChangeArrowheads="1"/>
        </xdr:cNvSpPr>
      </xdr:nvSpPr>
      <xdr:spPr bwMode="auto">
        <a:xfrm>
          <a:off x="13128625" y="730250"/>
          <a:ext cx="815976" cy="365125"/>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70441</xdr:colOff>
      <xdr:row>0</xdr:row>
      <xdr:rowOff>158610</xdr:rowOff>
    </xdr:to>
    <xdr:pic>
      <xdr:nvPicPr>
        <xdr:cNvPr id="3" name="3 Imagen" descr="Logo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7650" cy="158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132907</xdr:colOff>
      <xdr:row>3</xdr:row>
      <xdr:rowOff>55379</xdr:rowOff>
    </xdr:from>
    <xdr:to>
      <xdr:col>1</xdr:col>
      <xdr:colOff>697762</xdr:colOff>
      <xdr:row>3</xdr:row>
      <xdr:rowOff>332269</xdr:rowOff>
    </xdr:to>
    <xdr:sp macro="" textlink="">
      <xdr:nvSpPr>
        <xdr:cNvPr id="4" name="Flecha: a la derecha 8">
          <a:extLst>
            <a:ext uri="{FF2B5EF4-FFF2-40B4-BE49-F238E27FC236}">
              <a16:creationId xmlns:a16="http://schemas.microsoft.com/office/drawing/2014/main" id="{00000000-0008-0000-1200-000004000000}"/>
            </a:ext>
          </a:extLst>
        </xdr:cNvPr>
        <xdr:cNvSpPr>
          <a:spLocks noChangeArrowheads="1"/>
        </xdr:cNvSpPr>
      </xdr:nvSpPr>
      <xdr:spPr bwMode="auto">
        <a:xfrm>
          <a:off x="520552" y="553780"/>
          <a:ext cx="564855" cy="276890"/>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1026583</xdr:colOff>
      <xdr:row>12</xdr:row>
      <xdr:rowOff>74428</xdr:rowOff>
    </xdr:from>
    <xdr:to>
      <xdr:col>1</xdr:col>
      <xdr:colOff>1259416</xdr:colOff>
      <xdr:row>12</xdr:row>
      <xdr:rowOff>221192</xdr:rowOff>
    </xdr:to>
    <xdr:pic>
      <xdr:nvPicPr>
        <xdr:cNvPr id="14297888" name="Imagen 1">
          <a:extLst>
            <a:ext uri="{FF2B5EF4-FFF2-40B4-BE49-F238E27FC236}">
              <a16:creationId xmlns:a16="http://schemas.microsoft.com/office/drawing/2014/main" id="{00000000-0008-0000-0100-0000202BDA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4083" y="2550928"/>
          <a:ext cx="232833" cy="146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65616</xdr:colOff>
      <xdr:row>0</xdr:row>
      <xdr:rowOff>105833</xdr:rowOff>
    </xdr:from>
    <xdr:to>
      <xdr:col>1</xdr:col>
      <xdr:colOff>313266</xdr:colOff>
      <xdr:row>1</xdr:row>
      <xdr:rowOff>135467</xdr:rowOff>
    </xdr:to>
    <xdr:pic>
      <xdr:nvPicPr>
        <xdr:cNvPr id="14297889" name="3 Imagen" descr="Logo1">
          <a:extLst>
            <a:ext uri="{FF2B5EF4-FFF2-40B4-BE49-F238E27FC236}">
              <a16:creationId xmlns:a16="http://schemas.microsoft.com/office/drawing/2014/main" id="{00000000-0008-0000-0100-0000212BDA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533" y="105833"/>
          <a:ext cx="247650" cy="167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514350</xdr:colOff>
      <xdr:row>1</xdr:row>
      <xdr:rowOff>0</xdr:rowOff>
    </xdr:to>
    <xdr:pic>
      <xdr:nvPicPr>
        <xdr:cNvPr id="26471660" name="3 Imagen" descr="Logo1">
          <a:extLst>
            <a:ext uri="{FF2B5EF4-FFF2-40B4-BE49-F238E27FC236}">
              <a16:creationId xmlns:a16="http://schemas.microsoft.com/office/drawing/2014/main" id="{00000000-0008-0000-1300-0000ECEC93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06825" y="0"/>
          <a:ext cx="5143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17</xdr:col>
      <xdr:colOff>514350</xdr:colOff>
      <xdr:row>2</xdr:row>
      <xdr:rowOff>180975</xdr:rowOff>
    </xdr:to>
    <xdr:pic>
      <xdr:nvPicPr>
        <xdr:cNvPr id="26257937" name="3 Imagen" descr="Logo1">
          <a:extLst>
            <a:ext uri="{FF2B5EF4-FFF2-40B4-BE49-F238E27FC236}">
              <a16:creationId xmlns:a16="http://schemas.microsoft.com/office/drawing/2014/main" id="{00000000-0008-0000-1400-000011AA9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5175" y="228600"/>
          <a:ext cx="5143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742950</xdr:colOff>
      <xdr:row>0</xdr:row>
      <xdr:rowOff>19050</xdr:rowOff>
    </xdr:from>
    <xdr:to>
      <xdr:col>7</xdr:col>
      <xdr:colOff>990600</xdr:colOff>
      <xdr:row>0</xdr:row>
      <xdr:rowOff>180975</xdr:rowOff>
    </xdr:to>
    <xdr:pic>
      <xdr:nvPicPr>
        <xdr:cNvPr id="17090903" name="3 Imagen" descr="Logo1">
          <a:extLst>
            <a:ext uri="{FF2B5EF4-FFF2-40B4-BE49-F238E27FC236}">
              <a16:creationId xmlns:a16="http://schemas.microsoft.com/office/drawing/2014/main" id="{00000000-0008-0000-1500-000057C904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49125" y="19050"/>
          <a:ext cx="2476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133060</xdr:colOff>
      <xdr:row>3</xdr:row>
      <xdr:rowOff>120804</xdr:rowOff>
    </xdr:from>
    <xdr:to>
      <xdr:col>3</xdr:col>
      <xdr:colOff>257175</xdr:colOff>
      <xdr:row>14</xdr:row>
      <xdr:rowOff>134938</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133060" y="565304"/>
          <a:ext cx="7736178" cy="1760384"/>
        </a:xfrm>
        <a:prstGeom prst="rect">
          <a:avLst/>
        </a:prstGeom>
        <a:solidFill>
          <a:schemeClr val="bg1">
            <a:lumMod val="95000"/>
          </a:schemeClr>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 sz="1100" b="1" u="sng">
              <a:latin typeface="+mn-lt"/>
              <a:cs typeface="Arial" panose="020B0604020202020204" pitchFamily="34" charset="0"/>
            </a:rPr>
            <a:t>Introducción</a:t>
          </a:r>
          <a:r>
            <a:rPr lang="es-ES" sz="1100">
              <a:latin typeface="+mn-lt"/>
              <a:cs typeface="Arial" panose="020B0604020202020204" pitchFamily="34" charset="0"/>
            </a:rPr>
            <a:t>:</a:t>
          </a:r>
        </a:p>
        <a:p>
          <a:pPr>
            <a:lnSpc>
              <a:spcPts val="1100"/>
            </a:lnSpc>
            <a:spcBef>
              <a:spcPts val="100"/>
            </a:spcBef>
            <a:spcAft>
              <a:spcPts val="100"/>
            </a:spcAft>
          </a:pPr>
          <a:r>
            <a:rPr lang="es-ES" sz="900">
              <a:solidFill>
                <a:schemeClr val="dk1"/>
              </a:solidFill>
              <a:effectLst/>
              <a:latin typeface="+mn-lt"/>
              <a:ea typeface="+mn-ea"/>
              <a:cs typeface="Arial" panose="020B0604020202020204" pitchFamily="34" charset="0"/>
            </a:rPr>
            <a:t> </a:t>
          </a:r>
        </a:p>
        <a:p>
          <a:pPr>
            <a:lnSpc>
              <a:spcPts val="1000"/>
            </a:lnSpc>
            <a:spcBef>
              <a:spcPts val="100"/>
            </a:spcBef>
            <a:spcAft>
              <a:spcPts val="100"/>
            </a:spcAft>
          </a:pPr>
          <a:r>
            <a:rPr lang="es-ES" sz="900">
              <a:solidFill>
                <a:schemeClr val="dk1"/>
              </a:solidFill>
              <a:effectLst/>
              <a:latin typeface="+mn-lt"/>
              <a:ea typeface="+mn-ea"/>
              <a:cs typeface="Arial" panose="020B0604020202020204" pitchFamily="34" charset="0"/>
            </a:rPr>
            <a:t>Aunque se</a:t>
          </a:r>
          <a:r>
            <a:rPr lang="es-ES" sz="900" baseline="0">
              <a:solidFill>
                <a:schemeClr val="dk1"/>
              </a:solidFill>
              <a:effectLst/>
              <a:latin typeface="+mn-lt"/>
              <a:ea typeface="+mn-ea"/>
              <a:cs typeface="Arial" panose="020B0604020202020204" pitchFamily="34" charset="0"/>
            </a:rPr>
            <a:t> incluyen</a:t>
          </a:r>
          <a:r>
            <a:rPr lang="es-ES" sz="900">
              <a:solidFill>
                <a:schemeClr val="dk1"/>
              </a:solidFill>
              <a:effectLst/>
              <a:latin typeface="+mn-lt"/>
              <a:ea typeface="+mn-ea"/>
              <a:cs typeface="Arial" panose="020B0604020202020204" pitchFamily="34" charset="0"/>
            </a:rPr>
            <a:t> una serie de instrucciones básica de uso en la hoja Indice</a:t>
          </a:r>
          <a:r>
            <a:rPr lang="es-ES" sz="900" baseline="0">
              <a:solidFill>
                <a:schemeClr val="dk1"/>
              </a:solidFill>
              <a:effectLst/>
              <a:latin typeface="+mn-lt"/>
              <a:ea typeface="+mn-ea"/>
              <a:cs typeface="Arial" panose="020B0604020202020204" pitchFamily="34" charset="0"/>
            </a:rPr>
            <a:t> y</a:t>
          </a:r>
          <a:r>
            <a:rPr lang="es-ES" sz="900">
              <a:solidFill>
                <a:schemeClr val="dk1"/>
              </a:solidFill>
              <a:effectLst/>
              <a:latin typeface="+mn-lt"/>
              <a:ea typeface="+mn-ea"/>
              <a:cs typeface="Arial" panose="020B0604020202020204" pitchFamily="34" charset="0"/>
            </a:rPr>
            <a:t> comentarios aclaratorios en algunas celdas de</a:t>
          </a:r>
          <a:r>
            <a:rPr lang="es-ES" sz="900" baseline="0">
              <a:solidFill>
                <a:schemeClr val="dk1"/>
              </a:solidFill>
              <a:effectLst/>
              <a:latin typeface="+mn-lt"/>
              <a:ea typeface="+mn-ea"/>
              <a:cs typeface="Arial" panose="020B0604020202020204" pitchFamily="34" charset="0"/>
            </a:rPr>
            <a:t> las hojas siguientes, si hay necesidad de entender mejor </a:t>
          </a:r>
          <a:r>
            <a:rPr lang="es-ES" sz="900">
              <a:solidFill>
                <a:schemeClr val="dk1"/>
              </a:solidFill>
              <a:effectLst/>
              <a:latin typeface="+mn-lt"/>
              <a:ea typeface="+mn-ea"/>
              <a:cs typeface="Arial" panose="020B0604020202020204" pitchFamily="34" charset="0"/>
            </a:rPr>
            <a:t>la estructura, composición y operatividad de esta plantilla (hoja de cálculo) "Plan E-Financiero" puede</a:t>
          </a:r>
          <a:r>
            <a:rPr lang="es-ES" sz="900" baseline="0">
              <a:solidFill>
                <a:schemeClr val="dk1"/>
              </a:solidFill>
              <a:effectLst/>
              <a:latin typeface="+mn-lt"/>
              <a:ea typeface="+mn-ea"/>
              <a:cs typeface="Arial" panose="020B0604020202020204" pitchFamily="34" charset="0"/>
            </a:rPr>
            <a:t> consultar las notas siguientes: </a:t>
          </a:r>
        </a:p>
        <a:p>
          <a:pPr>
            <a:lnSpc>
              <a:spcPts val="1000"/>
            </a:lnSpc>
            <a:spcBef>
              <a:spcPts val="100"/>
            </a:spcBef>
            <a:spcAft>
              <a:spcPts val="100"/>
            </a:spcAft>
          </a:pPr>
          <a:r>
            <a:rPr lang="es-ES" sz="900" b="1">
              <a:solidFill>
                <a:schemeClr val="dk1"/>
              </a:solidFill>
              <a:effectLst/>
              <a:latin typeface="+mn-lt"/>
              <a:ea typeface="+mn-ea"/>
              <a:cs typeface="Arial" panose="020B0604020202020204" pitchFamily="34" charset="0"/>
            </a:rPr>
            <a:t> </a:t>
          </a:r>
          <a:endParaRPr lang="es-ES" sz="900">
            <a:solidFill>
              <a:schemeClr val="dk1"/>
            </a:solidFill>
            <a:effectLst/>
            <a:latin typeface="+mn-lt"/>
            <a:ea typeface="+mn-ea"/>
            <a:cs typeface="Arial" panose="020B0604020202020204" pitchFamily="34" charset="0"/>
          </a:endParaRPr>
        </a:p>
        <a:p>
          <a:pPr>
            <a:lnSpc>
              <a:spcPts val="1100"/>
            </a:lnSpc>
            <a:spcBef>
              <a:spcPts val="100"/>
            </a:spcBef>
            <a:spcAft>
              <a:spcPts val="100"/>
            </a:spcAft>
          </a:pPr>
          <a:r>
            <a:rPr lang="es-ES" sz="900" u="sng">
              <a:solidFill>
                <a:schemeClr val="dk1"/>
              </a:solidFill>
              <a:effectLst/>
              <a:latin typeface="+mn-lt"/>
              <a:ea typeface="+mn-ea"/>
              <a:cs typeface="Arial" panose="020B0604020202020204" pitchFamily="34" charset="0"/>
            </a:rPr>
            <a:t>ADVERTENCIA</a:t>
          </a:r>
          <a:endParaRPr lang="es-ES" sz="900">
            <a:solidFill>
              <a:schemeClr val="dk1"/>
            </a:solidFill>
            <a:effectLst/>
            <a:latin typeface="+mn-lt"/>
            <a:ea typeface="+mn-ea"/>
            <a:cs typeface="Arial" panose="020B0604020202020204" pitchFamily="34" charset="0"/>
          </a:endParaRPr>
        </a:p>
        <a:p>
          <a:pPr>
            <a:lnSpc>
              <a:spcPts val="1100"/>
            </a:lnSpc>
            <a:spcBef>
              <a:spcPts val="100"/>
            </a:spcBef>
            <a:spcAft>
              <a:spcPts val="100"/>
            </a:spcAft>
          </a:pPr>
          <a:r>
            <a:rPr lang="es-ES" sz="900">
              <a:solidFill>
                <a:schemeClr val="dk1"/>
              </a:solidFill>
              <a:effectLst/>
              <a:latin typeface="+mn-lt"/>
              <a:ea typeface="+mn-ea"/>
              <a:cs typeface="Arial" panose="020B0604020202020204" pitchFamily="34" charset="0"/>
              <a:sym typeface="Marlett" pitchFamily="2" charset="2"/>
            </a:rPr>
            <a:t>►  </a:t>
          </a:r>
          <a:r>
            <a:rPr lang="es-ES" sz="900">
              <a:solidFill>
                <a:schemeClr val="dk1"/>
              </a:solidFill>
              <a:effectLst/>
              <a:latin typeface="+mn-lt"/>
              <a:ea typeface="+mn-ea"/>
              <a:cs typeface="Arial" panose="020B0604020202020204" pitchFamily="34" charset="0"/>
            </a:rPr>
            <a:t>Para poder operar</a:t>
          </a:r>
          <a:r>
            <a:rPr lang="es-ES" sz="900" baseline="0">
              <a:solidFill>
                <a:schemeClr val="dk1"/>
              </a:solidFill>
              <a:effectLst/>
              <a:latin typeface="+mn-lt"/>
              <a:ea typeface="+mn-ea"/>
              <a:cs typeface="Arial" panose="020B0604020202020204" pitchFamily="34" charset="0"/>
            </a:rPr>
            <a:t> correctamente con esta herramienta</a:t>
          </a:r>
          <a:r>
            <a:rPr lang="es-ES" sz="900">
              <a:solidFill>
                <a:schemeClr val="dk1"/>
              </a:solidFill>
              <a:effectLst/>
              <a:latin typeface="+mn-lt"/>
              <a:ea typeface="+mn-ea"/>
              <a:cs typeface="Arial" panose="020B0604020202020204" pitchFamily="34" charset="0"/>
            </a:rPr>
            <a:t>, se</a:t>
          </a:r>
          <a:r>
            <a:rPr lang="es-ES" sz="900" baseline="0">
              <a:solidFill>
                <a:schemeClr val="dk1"/>
              </a:solidFill>
              <a:effectLst/>
              <a:latin typeface="+mn-lt"/>
              <a:ea typeface="+mn-ea"/>
              <a:cs typeface="Arial" panose="020B0604020202020204" pitchFamily="34" charset="0"/>
            </a:rPr>
            <a:t> debe</a:t>
          </a:r>
          <a:r>
            <a:rPr lang="es-ES" sz="900">
              <a:solidFill>
                <a:schemeClr val="dk1"/>
              </a:solidFill>
              <a:effectLst/>
              <a:latin typeface="+mn-lt"/>
              <a:ea typeface="+mn-ea"/>
              <a:cs typeface="Arial" panose="020B0604020202020204" pitchFamily="34" charset="0"/>
            </a:rPr>
            <a:t> disponer de la aplicación Excel</a:t>
          </a:r>
          <a:r>
            <a:rPr lang="es-ES" sz="900">
              <a:solidFill>
                <a:schemeClr val="dk1"/>
              </a:solidFill>
              <a:effectLst/>
              <a:latin typeface="+mn-lt"/>
              <a:ea typeface="+mn-ea"/>
              <a:cs typeface="Arial" panose="020B0604020202020204" pitchFamily="34" charset="0"/>
              <a:sym typeface="Symbol" panose="05050102010706020507" pitchFamily="18" charset="2"/>
            </a:rPr>
            <a:t>.</a:t>
          </a:r>
          <a:endParaRPr lang="es-ES" sz="900">
            <a:solidFill>
              <a:schemeClr val="dk1"/>
            </a:solidFill>
            <a:effectLst/>
            <a:latin typeface="+mn-lt"/>
            <a:ea typeface="+mn-ea"/>
            <a:cs typeface="Arial" panose="020B0604020202020204" pitchFamily="34" charset="0"/>
          </a:endParaRPr>
        </a:p>
        <a:p>
          <a:pPr>
            <a:lnSpc>
              <a:spcPts val="1100"/>
            </a:lnSpc>
            <a:spcBef>
              <a:spcPts val="100"/>
            </a:spcBef>
            <a:spcAft>
              <a:spcPts val="100"/>
            </a:spcAft>
          </a:pPr>
          <a:r>
            <a:rPr lang="es-ES" sz="900">
              <a:solidFill>
                <a:schemeClr val="dk1"/>
              </a:solidFill>
              <a:effectLst/>
              <a:latin typeface="+mn-lt"/>
              <a:ea typeface="+mn-ea"/>
              <a:cs typeface="Arial" panose="020B0604020202020204" pitchFamily="34" charset="0"/>
            </a:rPr>
            <a:t>►  El documento está protegido para que no se</a:t>
          </a:r>
          <a:r>
            <a:rPr lang="es-ES" sz="900" baseline="0">
              <a:solidFill>
                <a:schemeClr val="dk1"/>
              </a:solidFill>
              <a:effectLst/>
              <a:latin typeface="+mn-lt"/>
              <a:ea typeface="+mn-ea"/>
              <a:cs typeface="Arial" panose="020B0604020202020204" pitchFamily="34" charset="0"/>
            </a:rPr>
            <a:t> pueda</a:t>
          </a:r>
          <a:r>
            <a:rPr lang="es-ES" sz="900">
              <a:solidFill>
                <a:schemeClr val="dk1"/>
              </a:solidFill>
              <a:effectLst/>
              <a:latin typeface="+mn-lt"/>
              <a:ea typeface="+mn-ea"/>
              <a:cs typeface="Arial" panose="020B0604020202020204" pitchFamily="34" charset="0"/>
            </a:rPr>
            <a:t> escribir por error en las celdas que contienen fórmulas y acabar</a:t>
          </a:r>
          <a:r>
            <a:rPr lang="es-ES" sz="900" baseline="0">
              <a:solidFill>
                <a:schemeClr val="dk1"/>
              </a:solidFill>
              <a:effectLst/>
              <a:latin typeface="+mn-lt"/>
              <a:ea typeface="+mn-ea"/>
              <a:cs typeface="Arial" panose="020B0604020202020204" pitchFamily="34" charset="0"/>
            </a:rPr>
            <a:t> d</a:t>
          </a:r>
          <a:r>
            <a:rPr lang="es-ES" sz="900">
              <a:solidFill>
                <a:schemeClr val="dk1"/>
              </a:solidFill>
              <a:effectLst/>
              <a:latin typeface="+mn-lt"/>
              <a:ea typeface="+mn-ea"/>
              <a:cs typeface="Arial" panose="020B0604020202020204" pitchFamily="34" charset="0"/>
            </a:rPr>
            <a:t>estruyéndolas.</a:t>
          </a:r>
          <a:r>
            <a:rPr lang="es-ES" sz="900" baseline="0">
              <a:solidFill>
                <a:schemeClr val="dk1"/>
              </a:solidFill>
              <a:effectLst/>
              <a:latin typeface="+mn-lt"/>
              <a:ea typeface="+mn-ea"/>
              <a:cs typeface="Arial" panose="020B0604020202020204" pitchFamily="34" charset="0"/>
            </a:rPr>
            <a:t> Pero en el supuesto de necesitar desprotegerlas, no hay contraseña para ello.</a:t>
          </a:r>
        </a:p>
        <a:p>
          <a:pPr>
            <a:lnSpc>
              <a:spcPts val="1100"/>
            </a:lnSpc>
            <a:spcBef>
              <a:spcPts val="100"/>
            </a:spcBef>
            <a:spcAft>
              <a:spcPts val="100"/>
            </a:spcAft>
          </a:pPr>
          <a:r>
            <a:rPr lang="es-ES" sz="900" baseline="0">
              <a:solidFill>
                <a:schemeClr val="dk1"/>
              </a:solidFill>
              <a:effectLst/>
              <a:latin typeface="+mn-lt"/>
              <a:ea typeface="+mn-ea"/>
              <a:cs typeface="Arial" panose="020B0604020202020204" pitchFamily="34" charset="0"/>
            </a:rPr>
            <a:t>►  Las celdas de este color verde                       son las únicas que se deben manipular, introduciendo datos y/o modificando los existentes.</a:t>
          </a:r>
          <a:endParaRPr lang="es-ES" sz="900">
            <a:solidFill>
              <a:schemeClr val="dk1"/>
            </a:solidFill>
            <a:effectLst/>
            <a:latin typeface="+mn-lt"/>
            <a:ea typeface="+mn-ea"/>
            <a:cs typeface="Arial" panose="020B0604020202020204" pitchFamily="34" charset="0"/>
          </a:endParaRPr>
        </a:p>
      </xdr:txBody>
    </xdr:sp>
    <xdr:clientData/>
  </xdr:twoCellAnchor>
  <xdr:twoCellAnchor>
    <xdr:from>
      <xdr:col>0</xdr:col>
      <xdr:colOff>144929</xdr:colOff>
      <xdr:row>15</xdr:row>
      <xdr:rowOff>95280</xdr:rowOff>
    </xdr:from>
    <xdr:to>
      <xdr:col>3</xdr:col>
      <xdr:colOff>238125</xdr:colOff>
      <xdr:row>33</xdr:row>
      <xdr:rowOff>103188</xdr:rowOff>
    </xdr:to>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144929" y="2444780"/>
          <a:ext cx="7705259" cy="2865408"/>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000"/>
            </a:lnSpc>
            <a:spcBef>
              <a:spcPts val="100"/>
            </a:spcBef>
            <a:spcAft>
              <a:spcPts val="100"/>
            </a:spcAft>
            <a:defRPr sz="1000"/>
          </a:pPr>
          <a:r>
            <a:rPr lang="es-ES" sz="900" b="1" i="0" u="none" strike="noStrike" baseline="0">
              <a:solidFill>
                <a:srgbClr val="000000"/>
              </a:solidFill>
              <a:latin typeface="+mn-lt"/>
              <a:cs typeface="Aparajita"/>
            </a:rPr>
            <a:t>Índice</a:t>
          </a:r>
          <a:r>
            <a:rPr lang="es-ES" sz="900" b="0" i="0" u="none" strike="noStrike" baseline="0">
              <a:solidFill>
                <a:srgbClr val="000000"/>
              </a:solidFill>
              <a:latin typeface="+mn-lt"/>
              <a:cs typeface="Aparajita"/>
            </a:rPr>
            <a:t> </a:t>
          </a:r>
          <a:r>
            <a:rPr lang="es-ES" sz="900" b="0" i="1" u="none" strike="noStrike" baseline="0">
              <a:solidFill>
                <a:srgbClr val="000000"/>
              </a:solidFill>
              <a:latin typeface="+mn-lt"/>
              <a:cs typeface="Aparajita"/>
            </a:rPr>
            <a:t>(2 páginas)</a:t>
          </a:r>
          <a:endParaRPr lang="es-ES" sz="900" b="0" i="0" u="none" strike="noStrike" baseline="0">
            <a:solidFill>
              <a:srgbClr val="000000"/>
            </a:solidFill>
            <a:latin typeface="+mn-lt"/>
            <a:cs typeface="Aparajita"/>
          </a:endParaRPr>
        </a:p>
        <a:p>
          <a:pPr algn="l" rtl="0">
            <a:lnSpc>
              <a:spcPts val="1000"/>
            </a:lnSpc>
            <a:spcBef>
              <a:spcPts val="100"/>
            </a:spcBef>
            <a:spcAft>
              <a:spcPts val="100"/>
            </a:spcAft>
            <a:defRPr sz="1000"/>
          </a:pPr>
          <a:endParaRPr lang="es-ES" sz="900" b="0" i="0" u="none" strike="noStrike" baseline="0">
            <a:solidFill>
              <a:srgbClr val="000000"/>
            </a:solidFill>
            <a:latin typeface="+mn-lt"/>
            <a:cs typeface="Aparajita"/>
          </a:endParaRPr>
        </a:p>
        <a:p>
          <a:pPr algn="l" rtl="0">
            <a:lnSpc>
              <a:spcPts val="1000"/>
            </a:lnSpc>
            <a:spcBef>
              <a:spcPts val="100"/>
            </a:spcBef>
            <a:spcAft>
              <a:spcPts val="100"/>
            </a:spcAft>
            <a:defRPr sz="1000"/>
          </a:pPr>
          <a:r>
            <a:rPr lang="es-ES" sz="900" b="0" i="0" u="none" strike="noStrike" baseline="0">
              <a:solidFill>
                <a:srgbClr val="000000"/>
              </a:solidFill>
              <a:latin typeface="+mn-lt"/>
              <a:cs typeface="Aparajita"/>
            </a:rPr>
            <a:t>● Primera página (</a:t>
          </a:r>
          <a:r>
            <a:rPr lang="es-ES" sz="900" b="0" i="0" u="none" strike="noStrike" baseline="0">
              <a:solidFill>
                <a:schemeClr val="tx1">
                  <a:lumMod val="50000"/>
                  <a:lumOff val="50000"/>
                </a:schemeClr>
              </a:solidFill>
              <a:latin typeface="+mn-lt"/>
              <a:cs typeface="Aparajita"/>
            </a:rPr>
            <a:t>cuadro de la izquierda</a:t>
          </a:r>
          <a:r>
            <a:rPr lang="es-ES" sz="900" b="0" i="0" u="none" strike="noStrike" baseline="0">
              <a:solidFill>
                <a:srgbClr val="000000"/>
              </a:solidFill>
              <a:latin typeface="+mn-lt"/>
              <a:cs typeface="Aparajita"/>
            </a:rPr>
            <a:t>):</a:t>
          </a:r>
        </a:p>
        <a:p>
          <a:pPr algn="l" rtl="0">
            <a:lnSpc>
              <a:spcPts val="1000"/>
            </a:lnSpc>
            <a:spcBef>
              <a:spcPts val="100"/>
            </a:spcBef>
            <a:spcAft>
              <a:spcPts val="100"/>
            </a:spcAft>
            <a:defRPr sz="1000"/>
          </a:pPr>
          <a:r>
            <a:rPr lang="es-ES" sz="900" b="0" i="0" u="none" strike="noStrike" baseline="0">
              <a:solidFill>
                <a:srgbClr val="000000"/>
              </a:solidFill>
              <a:latin typeface="+mn-lt"/>
              <a:cs typeface="Aparajita"/>
            </a:rPr>
            <a:t>Contiene el </a:t>
          </a:r>
          <a:r>
            <a:rPr lang="es-ES" sz="900" b="1" i="0" u="none" strike="noStrike" baseline="0">
              <a:solidFill>
                <a:srgbClr val="000000"/>
              </a:solidFill>
              <a:latin typeface="+mn-lt"/>
              <a:cs typeface="Aparajita"/>
            </a:rPr>
            <a:t>índice de las </a:t>
          </a:r>
          <a:r>
            <a:rPr lang="es-ES" sz="900" b="1" i="0" u="none" strike="noStrike" baseline="0">
              <a:solidFill>
                <a:schemeClr val="tx1">
                  <a:lumMod val="50000"/>
                  <a:lumOff val="50000"/>
                </a:schemeClr>
              </a:solidFill>
              <a:latin typeface="+mn-lt"/>
              <a:cs typeface="Aparajita"/>
            </a:rPr>
            <a:t>hojas visibles </a:t>
          </a:r>
          <a:r>
            <a:rPr lang="es-ES" sz="900" b="1" i="0" u="none" strike="noStrike" baseline="0">
              <a:solidFill>
                <a:srgbClr val="000000"/>
              </a:solidFill>
              <a:latin typeface="+mn-lt"/>
              <a:cs typeface="Aparajita"/>
            </a:rPr>
            <a:t>de la “Plantilla PF”</a:t>
          </a:r>
          <a:r>
            <a:rPr lang="es-ES" sz="900" b="0" i="0" u="none" strike="noStrike" baseline="0">
              <a:solidFill>
                <a:srgbClr val="000000"/>
              </a:solidFill>
              <a:latin typeface="+mn-lt"/>
              <a:cs typeface="Aparajita"/>
            </a:rPr>
            <a:t>.</a:t>
          </a:r>
        </a:p>
        <a:p>
          <a:pPr algn="l" rtl="0">
            <a:lnSpc>
              <a:spcPts val="1000"/>
            </a:lnSpc>
            <a:spcBef>
              <a:spcPts val="100"/>
            </a:spcBef>
            <a:spcAft>
              <a:spcPts val="100"/>
            </a:spcAft>
            <a:defRPr sz="1000"/>
          </a:pPr>
          <a:r>
            <a:rPr lang="es-ES" sz="900" b="0" i="0" u="none" strike="noStrike" baseline="0">
              <a:solidFill>
                <a:srgbClr val="000000"/>
              </a:solidFill>
              <a:latin typeface="+mn-lt"/>
              <a:cs typeface="Aparajita"/>
            </a:rPr>
            <a:t>Pinchando la celda de la hoja a la que se quiera desplazar, se puede entrar en la misma;  aunque también se puede hacer desplazándose por las pestañas de la parte inferior de cada hoja de trabajo y abriendo la que se precise.</a:t>
          </a:r>
        </a:p>
        <a:p>
          <a:pPr algn="l" rtl="0">
            <a:lnSpc>
              <a:spcPts val="1000"/>
            </a:lnSpc>
            <a:spcBef>
              <a:spcPts val="600"/>
            </a:spcBef>
            <a:spcAft>
              <a:spcPts val="100"/>
            </a:spcAft>
            <a:defRPr sz="1000"/>
          </a:pPr>
          <a:r>
            <a:rPr lang="es-ES" sz="900" b="0" i="0" u="none" strike="noStrike" baseline="0">
              <a:solidFill>
                <a:schemeClr val="bg1">
                  <a:lumMod val="65000"/>
                </a:schemeClr>
              </a:solidFill>
              <a:latin typeface="+mn-lt"/>
              <a:cs typeface="Aparajita"/>
            </a:rPr>
            <a:t>Cuadro de la derecha: </a:t>
          </a:r>
          <a:r>
            <a:rPr lang="es-ES" sz="900" b="1" i="0" u="none" strike="noStrike" baseline="0">
              <a:solidFill>
                <a:schemeClr val="bg1">
                  <a:lumMod val="65000"/>
                </a:schemeClr>
              </a:solidFill>
              <a:latin typeface="+mn-lt"/>
              <a:cs typeface="Aparajita"/>
            </a:rPr>
            <a:t>índice de hojas ocultas</a:t>
          </a:r>
          <a:r>
            <a:rPr lang="es-ES" sz="900" b="0" i="0" u="none" strike="noStrike" baseline="0">
              <a:solidFill>
                <a:schemeClr val="bg1">
                  <a:lumMod val="65000"/>
                </a:schemeClr>
              </a:solidFill>
              <a:latin typeface="+mn-lt"/>
              <a:cs typeface="Aparajita"/>
            </a:rPr>
            <a:t>, las que cuyo nombre comienzan por "(0)...". Desocultar si se pretende hacer una PLan E-Financiero a cinco años.</a:t>
          </a:r>
        </a:p>
        <a:p>
          <a:pPr algn="l" rtl="0">
            <a:lnSpc>
              <a:spcPts val="1000"/>
            </a:lnSpc>
            <a:spcBef>
              <a:spcPts val="100"/>
            </a:spcBef>
            <a:spcAft>
              <a:spcPts val="100"/>
            </a:spcAft>
            <a:defRPr sz="1000"/>
          </a:pPr>
          <a:r>
            <a:rPr lang="es-ES" sz="900" b="0" i="0" u="none" strike="noStrike" baseline="0">
              <a:solidFill>
                <a:srgbClr val="000000"/>
              </a:solidFill>
              <a:latin typeface="+mn-lt"/>
              <a:cs typeface="Aparajita"/>
            </a:rPr>
            <a:t> </a:t>
          </a:r>
        </a:p>
        <a:p>
          <a:pPr algn="l" rtl="0">
            <a:lnSpc>
              <a:spcPts val="1000"/>
            </a:lnSpc>
            <a:spcBef>
              <a:spcPts val="100"/>
            </a:spcBef>
            <a:spcAft>
              <a:spcPts val="100"/>
            </a:spcAft>
            <a:defRPr sz="1000"/>
          </a:pPr>
          <a:r>
            <a:rPr lang="es-ES" sz="900" b="0" i="0" u="none" strike="noStrike" baseline="0">
              <a:solidFill>
                <a:srgbClr val="000000"/>
              </a:solidFill>
              <a:latin typeface="+mn-lt"/>
              <a:cs typeface="Aparajita"/>
            </a:rPr>
            <a:t>●Segunda página:</a:t>
          </a:r>
        </a:p>
        <a:p>
          <a:pPr algn="l" rtl="0">
            <a:lnSpc>
              <a:spcPts val="1000"/>
            </a:lnSpc>
            <a:spcBef>
              <a:spcPts val="100"/>
            </a:spcBef>
            <a:spcAft>
              <a:spcPts val="100"/>
            </a:spcAft>
            <a:defRPr sz="1000"/>
          </a:pPr>
          <a:r>
            <a:rPr lang="es-ES" sz="900" b="1" i="0" u="none" strike="noStrike" baseline="0">
              <a:solidFill>
                <a:srgbClr val="000000"/>
              </a:solidFill>
              <a:latin typeface="+mn-lt"/>
              <a:cs typeface="Aparajita"/>
            </a:rPr>
            <a:t>Incluye el cuadro de las instrucciones básicas para operar en esta “Plantilla PF”, las cuales conviene leer atentamente</a:t>
          </a:r>
          <a:r>
            <a:rPr lang="es-ES" sz="900" b="0" i="0" u="none" strike="noStrike" baseline="0">
              <a:solidFill>
                <a:srgbClr val="000000"/>
              </a:solidFill>
              <a:latin typeface="+mn-lt"/>
              <a:cs typeface="Aparajita"/>
            </a:rPr>
            <a:t>.</a:t>
          </a:r>
        </a:p>
        <a:p>
          <a:pPr algn="l" rtl="0">
            <a:lnSpc>
              <a:spcPts val="1100"/>
            </a:lnSpc>
            <a:spcBef>
              <a:spcPts val="100"/>
            </a:spcBef>
            <a:spcAft>
              <a:spcPts val="100"/>
            </a:spcAft>
            <a:defRPr sz="1000"/>
          </a:pPr>
          <a:r>
            <a:rPr lang="es-ES" sz="900" b="0" i="0" u="none" strike="noStrike" baseline="0">
              <a:solidFill>
                <a:srgbClr val="000000"/>
              </a:solidFill>
              <a:latin typeface="+mn-lt"/>
              <a:cs typeface="Aparajita"/>
            </a:rPr>
            <a:t> </a:t>
          </a:r>
        </a:p>
        <a:p>
          <a:pPr algn="l" rtl="0">
            <a:lnSpc>
              <a:spcPts val="1000"/>
            </a:lnSpc>
            <a:spcBef>
              <a:spcPts val="100"/>
            </a:spcBef>
            <a:spcAft>
              <a:spcPts val="100"/>
            </a:spcAft>
            <a:defRPr sz="1000"/>
          </a:pPr>
          <a:r>
            <a:rPr lang="es-ES" sz="900" b="1" i="0" u="none" strike="noStrike" baseline="0">
              <a:solidFill>
                <a:srgbClr val="336666"/>
              </a:solidFill>
              <a:latin typeface="+mn-lt"/>
              <a:cs typeface="Aparajita"/>
            </a:rPr>
            <a:t>Después de la lectura de dichas instrucciones, hay que recordar lo siguiente:</a:t>
          </a:r>
        </a:p>
        <a:p>
          <a:pPr algn="l" rtl="0">
            <a:lnSpc>
              <a:spcPts val="1000"/>
            </a:lnSpc>
            <a:spcBef>
              <a:spcPts val="100"/>
            </a:spcBef>
            <a:spcAft>
              <a:spcPts val="100"/>
            </a:spcAft>
            <a:defRPr sz="1000"/>
          </a:pPr>
          <a:r>
            <a:rPr lang="es-ES" sz="900" b="1" i="0" u="none" strike="noStrike" baseline="0">
              <a:solidFill>
                <a:srgbClr val="336666"/>
              </a:solidFill>
              <a:latin typeface="+mn-lt"/>
              <a:cs typeface="Aparajita"/>
            </a:rPr>
            <a:t>- Sólo se deben introducir o modificar datos en las celdas de color verde lima y/o verde (tonos verdes).</a:t>
          </a:r>
        </a:p>
        <a:p>
          <a:pPr algn="l" rtl="0">
            <a:lnSpc>
              <a:spcPts val="1100"/>
            </a:lnSpc>
            <a:spcBef>
              <a:spcPts val="100"/>
            </a:spcBef>
            <a:spcAft>
              <a:spcPts val="100"/>
            </a:spcAft>
            <a:defRPr sz="1000"/>
          </a:pPr>
          <a:r>
            <a:rPr lang="es-ES" sz="900" b="1" i="0" u="none" strike="noStrike" baseline="0">
              <a:solidFill>
                <a:srgbClr val="336666"/>
              </a:solidFill>
              <a:latin typeface="+mn-lt"/>
              <a:cs typeface="Aparajita"/>
            </a:rPr>
            <a:t>Si se desprotege la hoja, nunca escribir en las celdas con fondo blanco que se encuentren en algún cuadro. </a:t>
          </a:r>
        </a:p>
        <a:p>
          <a:pPr algn="l" rtl="0">
            <a:lnSpc>
              <a:spcPts val="1000"/>
            </a:lnSpc>
            <a:spcBef>
              <a:spcPts val="100"/>
            </a:spcBef>
            <a:spcAft>
              <a:spcPts val="100"/>
            </a:spcAft>
            <a:defRPr sz="1000"/>
          </a:pPr>
          <a:r>
            <a:rPr lang="es-ES" sz="900" b="1" i="0" u="none" strike="noStrike" baseline="0">
              <a:solidFill>
                <a:srgbClr val="336666"/>
              </a:solidFill>
              <a:latin typeface="+mn-lt"/>
              <a:cs typeface="Aparajita"/>
            </a:rPr>
            <a:t>- Las celdas que contienen el símbolo de comentario oculto (triángulo de color rojo en la esquina superior derecha de la celda), conviene lerlo, puesto que en este “Manual -Guía PF” puede que se de cómo explicado. </a:t>
          </a:r>
        </a:p>
        <a:p>
          <a:pPr algn="l" rtl="0">
            <a:lnSpc>
              <a:spcPts val="1000"/>
            </a:lnSpc>
            <a:spcBef>
              <a:spcPts val="100"/>
            </a:spcBef>
            <a:spcAft>
              <a:spcPts val="100"/>
            </a:spcAft>
            <a:defRPr sz="1000"/>
          </a:pPr>
          <a:r>
            <a:rPr lang="es-ES" sz="900" b="1" i="0" u="none" strike="noStrike" baseline="0">
              <a:solidFill>
                <a:srgbClr val="336666"/>
              </a:solidFill>
              <a:latin typeface="+mn-lt"/>
              <a:cs typeface="Aparajita"/>
            </a:rPr>
            <a:t>- Si alguna celda se colorea en rojo es una señal de advertencia, bien porque haya que realizar alguna operación pendiente o rectificar algún dato que se ha introducido incorrectamente.</a:t>
          </a:r>
        </a:p>
        <a:p>
          <a:pPr algn="l" rtl="0">
            <a:lnSpc>
              <a:spcPts val="800"/>
            </a:lnSpc>
            <a:defRPr sz="1000"/>
          </a:pPr>
          <a:r>
            <a:rPr lang="es-ES" sz="900" b="0" i="0" u="none" strike="noStrike" baseline="0">
              <a:solidFill>
                <a:srgbClr val="000000"/>
              </a:solidFill>
              <a:latin typeface="+mn-lt"/>
              <a:cs typeface="Aparajita"/>
            </a:rPr>
            <a:t> </a:t>
          </a:r>
        </a:p>
        <a:p>
          <a:pPr algn="l" rtl="0">
            <a:lnSpc>
              <a:spcPts val="800"/>
            </a:lnSpc>
            <a:defRPr sz="1000"/>
          </a:pPr>
          <a:endParaRPr lang="es-ES" sz="900">
            <a:latin typeface="+mn-lt"/>
          </a:endParaRPr>
        </a:p>
      </xdr:txBody>
    </xdr:sp>
    <xdr:clientData/>
  </xdr:twoCellAnchor>
  <xdr:twoCellAnchor>
    <xdr:from>
      <xdr:col>0</xdr:col>
      <xdr:colOff>117770</xdr:colOff>
      <xdr:row>34</xdr:row>
      <xdr:rowOff>42386</xdr:rowOff>
    </xdr:from>
    <xdr:to>
      <xdr:col>3</xdr:col>
      <xdr:colOff>246062</xdr:colOff>
      <xdr:row>84</xdr:row>
      <xdr:rowOff>87313</xdr:rowOff>
    </xdr:to>
    <xdr:sp macro="" textlink="">
      <xdr:nvSpPr>
        <xdr:cNvPr id="38" name="CuadroTexto 37">
          <a:extLst>
            <a:ext uri="{FF2B5EF4-FFF2-40B4-BE49-F238E27FC236}">
              <a16:creationId xmlns:a16="http://schemas.microsoft.com/office/drawing/2014/main" id="{00000000-0008-0000-0200-000026000000}"/>
            </a:ext>
          </a:extLst>
        </xdr:cNvPr>
        <xdr:cNvSpPr txBox="1"/>
      </xdr:nvSpPr>
      <xdr:spPr>
        <a:xfrm>
          <a:off x="117770" y="5408136"/>
          <a:ext cx="7740355" cy="796655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spcBef>
              <a:spcPts val="100"/>
            </a:spcBef>
            <a:spcAft>
              <a:spcPts val="100"/>
            </a:spcAft>
          </a:pPr>
          <a:r>
            <a:rPr lang="es-ES" sz="900" b="1">
              <a:solidFill>
                <a:schemeClr val="dk1"/>
              </a:solidFill>
              <a:effectLst/>
              <a:latin typeface="+mn-lt"/>
              <a:ea typeface="+mn-ea"/>
              <a:cs typeface="Aparajita" panose="020B0604020202020204" pitchFamily="34" charset="0"/>
            </a:rPr>
            <a:t>1. Datos Básicos.</a:t>
          </a:r>
          <a:r>
            <a:rPr lang="es-ES" sz="900" b="1" baseline="0">
              <a:solidFill>
                <a:schemeClr val="dk1"/>
              </a:solidFill>
              <a:effectLst/>
              <a:latin typeface="+mn-lt"/>
              <a:ea typeface="+mn-ea"/>
              <a:cs typeface="Aparajita" panose="020B0604020202020204" pitchFamily="34" charset="0"/>
            </a:rPr>
            <a:t> </a:t>
          </a:r>
          <a:r>
            <a:rPr lang="es-ES" sz="900" b="1">
              <a:solidFill>
                <a:schemeClr val="dk1"/>
              </a:solidFill>
              <a:effectLst/>
              <a:latin typeface="+mn-lt"/>
              <a:ea typeface="+mn-ea"/>
              <a:cs typeface="Aparajita" panose="020B0604020202020204" pitchFamily="34" charset="0"/>
            </a:rPr>
            <a:t>Product-Serv</a:t>
          </a:r>
          <a:r>
            <a:rPr lang="es-ES" sz="900">
              <a:solidFill>
                <a:schemeClr val="dk1"/>
              </a:solidFill>
              <a:effectLst/>
              <a:latin typeface="+mn-lt"/>
              <a:ea typeface="+mn-ea"/>
              <a:cs typeface="Aparajita" panose="020B0604020202020204" pitchFamily="34" charset="0"/>
            </a:rPr>
            <a:t> </a:t>
          </a:r>
          <a:r>
            <a:rPr lang="es-ES" sz="900" i="1">
              <a:solidFill>
                <a:schemeClr val="dk1"/>
              </a:solidFill>
              <a:effectLst/>
              <a:latin typeface="+mn-lt"/>
              <a:ea typeface="+mn-ea"/>
              <a:cs typeface="Aparajita" panose="020B0604020202020204" pitchFamily="34" charset="0"/>
            </a:rPr>
            <a:t>(1 página)</a:t>
          </a:r>
          <a:endParaRPr lang="es-ES" sz="900">
            <a:solidFill>
              <a:schemeClr val="dk1"/>
            </a:solidFill>
            <a:effectLst/>
            <a:latin typeface="+mn-lt"/>
            <a:ea typeface="+mn-ea"/>
            <a:cs typeface="Aparajita" panose="020B0604020202020204" pitchFamily="34" charset="0"/>
          </a:endParaRPr>
        </a:p>
        <a:p>
          <a:pPr>
            <a:lnSpc>
              <a:spcPts val="800"/>
            </a:lnSpc>
            <a:spcBef>
              <a:spcPts val="100"/>
            </a:spcBef>
            <a:spcAft>
              <a:spcPts val="100"/>
            </a:spcAft>
          </a:pPr>
          <a:endParaRPr lang="es-ES" sz="900">
            <a:solidFill>
              <a:schemeClr val="dk1"/>
            </a:solidFill>
            <a:effectLst/>
            <a:latin typeface="+mn-lt"/>
            <a:ea typeface="+mn-ea"/>
            <a:cs typeface="Aparajita" panose="020B0604020202020204" pitchFamily="34" charset="0"/>
          </a:endParaRP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rPr>
            <a:t>Esta hoja recoge los datos básicos de identificación del Plan de Negocio, algunos de los cuales</a:t>
          </a:r>
          <a:r>
            <a:rPr lang="es-ES" sz="900" baseline="0">
              <a:solidFill>
                <a:schemeClr val="dk1"/>
              </a:solidFill>
              <a:effectLst/>
              <a:latin typeface="+mn-lt"/>
              <a:ea typeface="+mn-ea"/>
              <a:cs typeface="Aparajita" panose="020B0604020202020204" pitchFamily="34" charset="0"/>
            </a:rPr>
            <a:t> </a:t>
          </a:r>
          <a:r>
            <a:rPr lang="es-ES" sz="900">
              <a:solidFill>
                <a:schemeClr val="dk1"/>
              </a:solidFill>
              <a:effectLst/>
              <a:latin typeface="+mn-lt"/>
              <a:ea typeface="+mn-ea"/>
              <a:cs typeface="Aparajita" panose="020B0604020202020204" pitchFamily="34" charset="0"/>
            </a:rPr>
            <a:t>se</a:t>
          </a:r>
          <a:r>
            <a:rPr lang="es-ES" sz="900" baseline="0">
              <a:solidFill>
                <a:schemeClr val="dk1"/>
              </a:solidFill>
              <a:effectLst/>
              <a:latin typeface="+mn-lt"/>
              <a:ea typeface="+mn-ea"/>
              <a:cs typeface="Aparajita" panose="020B0604020202020204" pitchFamily="34" charset="0"/>
            </a:rPr>
            <a:t> deben haber trabajado </a:t>
          </a:r>
          <a:r>
            <a:rPr lang="es-ES" sz="900">
              <a:solidFill>
                <a:schemeClr val="dk1"/>
              </a:solidFill>
              <a:effectLst/>
              <a:latin typeface="+mn-lt"/>
              <a:ea typeface="+mn-ea"/>
              <a:cs typeface="Aparajita" panose="020B0604020202020204" pitchFamily="34" charset="0"/>
            </a:rPr>
            <a:t>en los otros</a:t>
          </a:r>
          <a:r>
            <a:rPr lang="es-ES" sz="900" baseline="0">
              <a:solidFill>
                <a:schemeClr val="dk1"/>
              </a:solidFill>
              <a:effectLst/>
              <a:latin typeface="+mn-lt"/>
              <a:ea typeface="+mn-ea"/>
              <a:cs typeface="Aparajita" panose="020B0604020202020204" pitchFamily="34" charset="0"/>
            </a:rPr>
            <a:t> planes que comforman la fase de Planificación, especialmente en el </a:t>
          </a:r>
          <a:r>
            <a:rPr lang="es-ES" sz="900">
              <a:solidFill>
                <a:schemeClr val="dk1"/>
              </a:solidFill>
              <a:effectLst/>
              <a:latin typeface="+mn-lt"/>
              <a:ea typeface="+mn-ea"/>
              <a:cs typeface="Aparajita" panose="020B0604020202020204" pitchFamily="34" charset="0"/>
            </a:rPr>
            <a:t>Plan de Marketing.</a:t>
          </a: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rPr>
            <a:t>Son datos importantes, ya que afectan a las conclusiones de viabilidad que se obtengan de los resultados de este "PF".</a:t>
          </a: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rPr>
            <a:t> </a:t>
          </a: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sym typeface="Marlett" pitchFamily="2" charset="2"/>
            </a:rPr>
            <a:t></a:t>
          </a:r>
          <a:r>
            <a:rPr lang="es-ES" sz="900">
              <a:solidFill>
                <a:schemeClr val="dk1"/>
              </a:solidFill>
              <a:effectLst/>
              <a:latin typeface="+mn-lt"/>
              <a:ea typeface="+mn-ea"/>
              <a:cs typeface="Aparajita" panose="020B0604020202020204" pitchFamily="34" charset="0"/>
            </a:rPr>
            <a:t> Se</a:t>
          </a:r>
          <a:r>
            <a:rPr lang="es-ES" sz="900" baseline="0">
              <a:solidFill>
                <a:schemeClr val="dk1"/>
              </a:solidFill>
              <a:effectLst/>
              <a:latin typeface="+mn-lt"/>
              <a:ea typeface="+mn-ea"/>
              <a:cs typeface="Aparajita" panose="020B0604020202020204" pitchFamily="34" charset="0"/>
            </a:rPr>
            <a:t> debe</a:t>
          </a:r>
          <a:r>
            <a:rPr lang="es-ES" sz="900">
              <a:solidFill>
                <a:schemeClr val="dk1"/>
              </a:solidFill>
              <a:effectLst/>
              <a:latin typeface="+mn-lt"/>
              <a:ea typeface="+mn-ea"/>
              <a:cs typeface="Aparajita" panose="020B0604020202020204" pitchFamily="34" charset="0"/>
            </a:rPr>
            <a:t> determinar el comienzo del mes del "PF", si no quedará</a:t>
          </a:r>
          <a:r>
            <a:rPr lang="es-ES" sz="900" baseline="0">
              <a:solidFill>
                <a:schemeClr val="dk1"/>
              </a:solidFill>
              <a:effectLst/>
              <a:latin typeface="+mn-lt"/>
              <a:ea typeface="+mn-ea"/>
              <a:cs typeface="Aparajita" panose="020B0604020202020204" pitchFamily="34" charset="0"/>
            </a:rPr>
            <a:t> predeterminado como mes de inicio enero. Si se elige otro mes, debe coincidir con el de inicio de cualquiera de los tres trimestres del año (abril, julio u octubre).</a:t>
          </a: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rPr>
            <a:t>  El</a:t>
          </a:r>
          <a:r>
            <a:rPr lang="es-ES" sz="900" baseline="0">
              <a:solidFill>
                <a:schemeClr val="dk1"/>
              </a:solidFill>
              <a:effectLst/>
              <a:latin typeface="+mn-lt"/>
              <a:ea typeface="+mn-ea"/>
              <a:cs typeface="Aparajita" panose="020B0604020202020204" pitchFamily="34" charset="0"/>
            </a:rPr>
            <a:t> que se inicie siempre a comienzo de trimestre está relacionado</a:t>
          </a:r>
          <a:r>
            <a:rPr lang="es-ES" sz="900">
              <a:solidFill>
                <a:schemeClr val="dk1"/>
              </a:solidFill>
              <a:effectLst/>
              <a:latin typeface="+mn-lt"/>
              <a:ea typeface="+mn-ea"/>
              <a:cs typeface="Aparajita" panose="020B0604020202020204" pitchFamily="34" charset="0"/>
            </a:rPr>
            <a:t> con las liquidaciones trimestrales del IVA (que se calcularán</a:t>
          </a:r>
          <a:r>
            <a:rPr lang="es-ES" sz="900" baseline="0">
              <a:solidFill>
                <a:schemeClr val="dk1"/>
              </a:solidFill>
              <a:effectLst/>
              <a:latin typeface="+mn-lt"/>
              <a:ea typeface="+mn-ea"/>
              <a:cs typeface="Aparajita" panose="020B0604020202020204" pitchFamily="34" charset="0"/>
            </a:rPr>
            <a:t> de forma automática</a:t>
          </a:r>
          <a:r>
            <a:rPr lang="es-ES" sz="900">
              <a:solidFill>
                <a:schemeClr val="dk1"/>
              </a:solidFill>
              <a:effectLst/>
              <a:latin typeface="+mn-lt"/>
              <a:ea typeface="+mn-ea"/>
              <a:cs typeface="Aparajita" panose="020B0604020202020204" pitchFamily="34" charset="0"/>
            </a:rPr>
            <a:t> en la </a:t>
          </a:r>
          <a:r>
            <a:rPr lang="es-ES" sz="900" b="1">
              <a:solidFill>
                <a:schemeClr val="dk1"/>
              </a:solidFill>
              <a:effectLst/>
              <a:latin typeface="+mn-lt"/>
              <a:ea typeface="+mn-ea"/>
              <a:cs typeface="Aparajita" panose="020B0604020202020204" pitchFamily="34" charset="0"/>
            </a:rPr>
            <a:t>hoja 8</a:t>
          </a:r>
          <a:r>
            <a:rPr lang="es-ES" sz="900">
              <a:solidFill>
                <a:schemeClr val="dk1"/>
              </a:solidFill>
              <a:effectLst/>
              <a:latin typeface="+mn-lt"/>
              <a:ea typeface="+mn-ea"/>
              <a:cs typeface="Aparajita" panose="020B0604020202020204" pitchFamily="34" charset="0"/>
            </a:rPr>
            <a:t>), puesto que en esta</a:t>
          </a:r>
          <a:r>
            <a:rPr lang="es-ES" sz="900" baseline="0">
              <a:solidFill>
                <a:schemeClr val="dk1"/>
              </a:solidFill>
              <a:effectLst/>
              <a:latin typeface="+mn-lt"/>
              <a:ea typeface="+mn-ea"/>
              <a:cs typeface="Aparajita" panose="020B0604020202020204" pitchFamily="34" charset="0"/>
            </a:rPr>
            <a:t> </a:t>
          </a:r>
          <a:r>
            <a:rPr lang="es-ES" sz="900">
              <a:solidFill>
                <a:schemeClr val="dk1"/>
              </a:solidFill>
              <a:effectLst/>
              <a:latin typeface="+mn-lt"/>
              <a:ea typeface="+mn-ea"/>
              <a:cs typeface="Aparajita" panose="020B0604020202020204" pitchFamily="34" charset="0"/>
            </a:rPr>
            <a:t>“Plantilla PF” se ha considerado que las liquidaciones</a:t>
          </a:r>
          <a:r>
            <a:rPr lang="es-ES" sz="900" baseline="0">
              <a:solidFill>
                <a:schemeClr val="dk1"/>
              </a:solidFill>
              <a:effectLst/>
              <a:latin typeface="+mn-lt"/>
              <a:ea typeface="+mn-ea"/>
              <a:cs typeface="Aparajita" panose="020B0604020202020204" pitchFamily="34" charset="0"/>
            </a:rPr>
            <a:t> del IVA</a:t>
          </a:r>
          <a:r>
            <a:rPr lang="es-ES" sz="900">
              <a:solidFill>
                <a:schemeClr val="dk1"/>
              </a:solidFill>
              <a:effectLst/>
              <a:latin typeface="+mn-lt"/>
              <a:ea typeface="+mn-ea"/>
              <a:cs typeface="Aparajita" panose="020B0604020202020204" pitchFamily="34" charset="0"/>
            </a:rPr>
            <a:t> tengan</a:t>
          </a:r>
          <a:r>
            <a:rPr lang="es-ES" sz="900" baseline="0">
              <a:solidFill>
                <a:schemeClr val="dk1"/>
              </a:solidFill>
              <a:effectLst/>
              <a:latin typeface="+mn-lt"/>
              <a:ea typeface="+mn-ea"/>
              <a:cs typeface="Aparajita" panose="020B0604020202020204" pitchFamily="34" charset="0"/>
            </a:rPr>
            <a:t> </a:t>
          </a:r>
          <a:r>
            <a:rPr lang="es-ES" sz="900">
              <a:solidFill>
                <a:schemeClr val="dk1"/>
              </a:solidFill>
              <a:effectLst/>
              <a:latin typeface="+mn-lt"/>
              <a:ea typeface="+mn-ea"/>
              <a:cs typeface="Aparajita" panose="020B0604020202020204" pitchFamily="34" charset="0"/>
            </a:rPr>
            <a:t>carácter trimestral,</a:t>
          </a:r>
          <a:r>
            <a:rPr lang="es-ES" sz="900" baseline="0">
              <a:solidFill>
                <a:schemeClr val="dk1"/>
              </a:solidFill>
              <a:effectLst/>
              <a:latin typeface="+mn-lt"/>
              <a:ea typeface="+mn-ea"/>
              <a:cs typeface="Aparajita" panose="020B0604020202020204" pitchFamily="34" charset="0"/>
            </a:rPr>
            <a:t> a</a:t>
          </a:r>
          <a:r>
            <a:rPr lang="es-ES" sz="900">
              <a:solidFill>
                <a:schemeClr val="dk1"/>
              </a:solidFill>
              <a:effectLst/>
              <a:latin typeface="+mn-lt"/>
              <a:ea typeface="+mn-ea"/>
              <a:cs typeface="Aparajita" panose="020B0604020202020204" pitchFamily="34" charset="0"/>
            </a:rPr>
            <a:t>l ser el periodo de presentación frecuente en las pymes</a:t>
          </a:r>
          <a:r>
            <a:rPr lang="es-ES" sz="900" baseline="0">
              <a:solidFill>
                <a:schemeClr val="dk1"/>
              </a:solidFill>
              <a:effectLst/>
              <a:latin typeface="+mn-lt"/>
              <a:ea typeface="+mn-ea"/>
              <a:cs typeface="Aparajita" panose="020B0604020202020204" pitchFamily="34" charset="0"/>
            </a:rPr>
            <a:t>.</a:t>
          </a:r>
          <a:endParaRPr lang="es-ES" sz="900">
            <a:solidFill>
              <a:schemeClr val="dk1"/>
            </a:solidFill>
            <a:effectLst/>
            <a:latin typeface="+mn-lt"/>
            <a:ea typeface="+mn-ea"/>
            <a:cs typeface="Aparajita" panose="020B0604020202020204" pitchFamily="34" charset="0"/>
          </a:endParaRP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rPr>
            <a:t> </a:t>
          </a: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sym typeface="Marlett" pitchFamily="2" charset="2"/>
            </a:rPr>
            <a:t></a:t>
          </a:r>
          <a:r>
            <a:rPr lang="es-ES" sz="900">
              <a:solidFill>
                <a:schemeClr val="dk1"/>
              </a:solidFill>
              <a:effectLst/>
              <a:latin typeface="+mn-lt"/>
              <a:ea typeface="+mn-ea"/>
              <a:cs typeface="Aparajita" panose="020B0604020202020204" pitchFamily="34" charset="0"/>
            </a:rPr>
            <a:t> El tipo impositivo medio que aparece escrito (25%) es orientativo.</a:t>
          </a: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rPr>
            <a:t> </a:t>
          </a: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sym typeface="Marlett" pitchFamily="2" charset="2"/>
            </a:rPr>
            <a:t></a:t>
          </a:r>
          <a:r>
            <a:rPr lang="es-ES" sz="900">
              <a:solidFill>
                <a:schemeClr val="dk1"/>
              </a:solidFill>
              <a:effectLst/>
              <a:latin typeface="+mn-lt"/>
              <a:ea typeface="+mn-ea"/>
              <a:cs typeface="Aparajita" panose="020B0604020202020204" pitchFamily="34" charset="0"/>
            </a:rPr>
            <a:t> El IVA Soportado por Gastos de Explotación e Inversiones,</a:t>
          </a:r>
          <a:r>
            <a:rPr lang="es-ES" sz="900" baseline="0">
              <a:solidFill>
                <a:schemeClr val="dk1"/>
              </a:solidFill>
              <a:effectLst/>
              <a:latin typeface="+mn-lt"/>
              <a:ea typeface="+mn-ea"/>
              <a:cs typeface="Aparajita" panose="020B0604020202020204" pitchFamily="34" charset="0"/>
            </a:rPr>
            <a:t> </a:t>
          </a:r>
          <a:r>
            <a:rPr lang="es-ES" sz="900">
              <a:solidFill>
                <a:schemeClr val="dk1"/>
              </a:solidFill>
              <a:effectLst/>
              <a:latin typeface="+mn-lt"/>
              <a:ea typeface="+mn-ea"/>
              <a:cs typeface="Aparajita" panose="020B0604020202020204" pitchFamily="34" charset="0"/>
            </a:rPr>
            <a:t>es el que afectará a los Gastos de Explotación (</a:t>
          </a:r>
          <a:r>
            <a:rPr lang="es-ES" sz="900" b="1">
              <a:solidFill>
                <a:schemeClr val="dk1"/>
              </a:solidFill>
              <a:effectLst/>
              <a:latin typeface="+mn-lt"/>
              <a:ea typeface="+mn-ea"/>
              <a:cs typeface="Aparajita" panose="020B0604020202020204" pitchFamily="34" charset="0"/>
            </a:rPr>
            <a:t>hoja</a:t>
          </a:r>
          <a:r>
            <a:rPr lang="es-ES" sz="900">
              <a:solidFill>
                <a:schemeClr val="dk1"/>
              </a:solidFill>
              <a:effectLst/>
              <a:latin typeface="+mn-lt"/>
              <a:ea typeface="+mn-ea"/>
              <a:cs typeface="Aparajita" panose="020B0604020202020204" pitchFamily="34" charset="0"/>
            </a:rPr>
            <a:t> </a:t>
          </a:r>
          <a:r>
            <a:rPr lang="es-ES" sz="900" b="1">
              <a:solidFill>
                <a:schemeClr val="dk1"/>
              </a:solidFill>
              <a:effectLst/>
              <a:latin typeface="+mn-lt"/>
              <a:ea typeface="+mn-ea"/>
              <a:cs typeface="Aparajita" panose="020B0604020202020204" pitchFamily="34" charset="0"/>
            </a:rPr>
            <a:t> 6</a:t>
          </a:r>
          <a:r>
            <a:rPr lang="es-ES" sz="900" b="0">
              <a:solidFill>
                <a:schemeClr val="dk1"/>
              </a:solidFill>
              <a:effectLst/>
              <a:latin typeface="+mn-lt"/>
              <a:ea typeface="+mn-ea"/>
              <a:cs typeface="Aparajita" panose="020B0604020202020204" pitchFamily="34" charset="0"/>
            </a:rPr>
            <a:t>)</a:t>
          </a:r>
          <a:r>
            <a:rPr lang="es-ES" sz="900" b="0" baseline="0">
              <a:solidFill>
                <a:schemeClr val="dk1"/>
              </a:solidFill>
              <a:effectLst/>
              <a:latin typeface="+mn-lt"/>
              <a:ea typeface="+mn-ea"/>
              <a:cs typeface="Aparajita" panose="020B0604020202020204" pitchFamily="34" charset="0"/>
            </a:rPr>
            <a:t> e Inversiones a realizar en Activos No Corrientes (</a:t>
          </a:r>
          <a:r>
            <a:rPr lang="es-ES" sz="900" b="1" baseline="0">
              <a:solidFill>
                <a:schemeClr val="dk1"/>
              </a:solidFill>
              <a:effectLst/>
              <a:latin typeface="+mn-lt"/>
              <a:ea typeface="+mn-ea"/>
              <a:cs typeface="Aparajita" panose="020B0604020202020204" pitchFamily="34" charset="0"/>
            </a:rPr>
            <a:t>hoja 7</a:t>
          </a:r>
          <a:r>
            <a:rPr lang="es-ES" sz="900" b="0" baseline="0">
              <a:solidFill>
                <a:schemeClr val="dk1"/>
              </a:solidFill>
              <a:effectLst/>
              <a:latin typeface="+mn-lt"/>
              <a:ea typeface="+mn-ea"/>
              <a:cs typeface="Aparajita" panose="020B0604020202020204" pitchFamily="34" charset="0"/>
            </a:rPr>
            <a:t>)</a:t>
          </a:r>
        </a:p>
        <a:p>
          <a:pPr>
            <a:lnSpc>
              <a:spcPct val="100000"/>
            </a:lnSpc>
            <a:spcBef>
              <a:spcPts val="100"/>
            </a:spcBef>
            <a:spcAft>
              <a:spcPts val="100"/>
            </a:spcAft>
          </a:pPr>
          <a:r>
            <a:rPr lang="es-ES" sz="900" baseline="0">
              <a:solidFill>
                <a:schemeClr val="dk1"/>
              </a:solidFill>
              <a:effectLst/>
              <a:latin typeface="+mn-lt"/>
              <a:ea typeface="+mn-ea"/>
              <a:cs typeface="Aparajita" panose="020B0604020202020204" pitchFamily="34" charset="0"/>
            </a:rPr>
            <a:t>  </a:t>
          </a:r>
          <a:r>
            <a:rPr lang="es-ES" sz="900">
              <a:solidFill>
                <a:schemeClr val="dk1"/>
              </a:solidFill>
              <a:effectLst/>
              <a:latin typeface="+mn-lt"/>
              <a:ea typeface="+mn-ea"/>
              <a:cs typeface="Aparajita" panose="020B0604020202020204" pitchFamily="34" charset="0"/>
            </a:rPr>
            <a:t>Se ha dejado como preestablecido el 21% por ser el más frecuente para este tipo de cuentas, pero se</a:t>
          </a:r>
          <a:r>
            <a:rPr lang="es-ES" sz="900" baseline="0">
              <a:solidFill>
                <a:schemeClr val="dk1"/>
              </a:solidFill>
              <a:effectLst/>
              <a:latin typeface="+mn-lt"/>
              <a:ea typeface="+mn-ea"/>
              <a:cs typeface="Aparajita" panose="020B0604020202020204" pitchFamily="34" charset="0"/>
            </a:rPr>
            <a:t> puede modificar por cualquier otro tipo, el</a:t>
          </a:r>
          <a:r>
            <a:rPr lang="es-ES" sz="900">
              <a:solidFill>
                <a:schemeClr val="dk1"/>
              </a:solidFill>
              <a:effectLst/>
              <a:latin typeface="+mn-lt"/>
              <a:ea typeface="+mn-ea"/>
              <a:cs typeface="Aparajita" panose="020B0604020202020204" pitchFamily="34" charset="0"/>
            </a:rPr>
            <a:t> reducido (10%) o el superreducido (4%),</a:t>
          </a:r>
          <a:r>
            <a:rPr lang="es-ES" sz="900" baseline="0">
              <a:solidFill>
                <a:schemeClr val="dk1"/>
              </a:solidFill>
              <a:effectLst/>
              <a:latin typeface="+mn-lt"/>
              <a:ea typeface="+mn-ea"/>
              <a:cs typeface="Aparajita" panose="020B0604020202020204" pitchFamily="34" charset="0"/>
            </a:rPr>
            <a:t> y</a:t>
          </a:r>
          <a:r>
            <a:rPr lang="es-ES" sz="900">
              <a:solidFill>
                <a:schemeClr val="dk1"/>
              </a:solidFill>
              <a:effectLst/>
              <a:latin typeface="+mn-lt"/>
              <a:ea typeface="+mn-ea"/>
              <a:cs typeface="Aparajita" panose="020B0604020202020204" pitchFamily="34" charset="0"/>
            </a:rPr>
            <a:t> en el supuesto de que la actividad esté exenta de IVA, escribir 0%.</a:t>
          </a: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rPr>
            <a:t>  </a:t>
          </a: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sym typeface="Marlett" pitchFamily="2" charset="2"/>
            </a:rPr>
            <a:t></a:t>
          </a:r>
          <a:r>
            <a:rPr lang="es-ES" sz="900">
              <a:solidFill>
                <a:schemeClr val="dk1"/>
              </a:solidFill>
              <a:effectLst/>
              <a:latin typeface="+mn-lt"/>
              <a:ea typeface="+mn-ea"/>
              <a:cs typeface="Aparajita" panose="020B0604020202020204" pitchFamily="34" charset="0"/>
            </a:rPr>
            <a:t> Para completar los cuadros</a:t>
          </a:r>
          <a:r>
            <a:rPr lang="es-ES" sz="900" baseline="0">
              <a:solidFill>
                <a:schemeClr val="dk1"/>
              </a:solidFill>
              <a:effectLst/>
              <a:latin typeface="+mn-lt"/>
              <a:ea typeface="+mn-ea"/>
              <a:cs typeface="Aparajita" panose="020B0604020202020204" pitchFamily="34" charset="0"/>
            </a:rPr>
            <a:t> restantes habrá que tener confeccionado el Plan de Marketing, donde aparecerá determinado:</a:t>
          </a:r>
        </a:p>
        <a:p>
          <a:pPr>
            <a:lnSpc>
              <a:spcPct val="100000"/>
            </a:lnSpc>
            <a:spcBef>
              <a:spcPts val="100"/>
            </a:spcBef>
            <a:spcAft>
              <a:spcPts val="100"/>
            </a:spcAft>
          </a:pPr>
          <a:endParaRPr lang="es-ES" sz="900" baseline="0">
            <a:solidFill>
              <a:schemeClr val="dk1"/>
            </a:solidFill>
            <a:effectLst/>
            <a:latin typeface="+mn-lt"/>
            <a:ea typeface="+mn-ea"/>
            <a:cs typeface="Aparajita" panose="020B0604020202020204" pitchFamily="34" charset="0"/>
          </a:endParaRPr>
        </a:p>
        <a:p>
          <a:pPr>
            <a:lnSpc>
              <a:spcPct val="100000"/>
            </a:lnSpc>
            <a:spcBef>
              <a:spcPts val="100"/>
            </a:spcBef>
            <a:spcAft>
              <a:spcPts val="100"/>
            </a:spcAft>
          </a:pPr>
          <a:r>
            <a:rPr lang="es-ES" sz="900" baseline="0">
              <a:solidFill>
                <a:schemeClr val="dk1"/>
              </a:solidFill>
              <a:effectLst/>
              <a:latin typeface="+mn-lt"/>
              <a:ea typeface="+mn-ea"/>
              <a:cs typeface="Aparajita" panose="020B0604020202020204" pitchFamily="34" charset="0"/>
            </a:rPr>
            <a:t>1º) </a:t>
          </a:r>
          <a:r>
            <a:rPr lang="es-ES" sz="900" b="1" baseline="0">
              <a:solidFill>
                <a:schemeClr val="dk1"/>
              </a:solidFill>
              <a:effectLst/>
              <a:latin typeface="+mn-lt"/>
              <a:ea typeface="+mn-ea"/>
              <a:cs typeface="Aparajita" panose="020B0604020202020204" pitchFamily="34" charset="0"/>
            </a:rPr>
            <a:t>¿Que vamos a vender? </a:t>
          </a:r>
          <a:endParaRPr lang="es-ES" sz="900" b="0" baseline="0">
            <a:solidFill>
              <a:schemeClr val="dk1"/>
            </a:solidFill>
            <a:effectLst/>
            <a:latin typeface="+mn-lt"/>
            <a:ea typeface="+mn-ea"/>
            <a:cs typeface="Aparajita" panose="020B0604020202020204" pitchFamily="34" charset="0"/>
          </a:endParaRPr>
        </a:p>
        <a:p>
          <a:pPr>
            <a:lnSpc>
              <a:spcPct val="100000"/>
            </a:lnSpc>
            <a:spcBef>
              <a:spcPts val="100"/>
            </a:spcBef>
            <a:spcAft>
              <a:spcPts val="100"/>
            </a:spcAft>
          </a:pPr>
          <a:r>
            <a:rPr lang="es-ES" sz="900" b="0" baseline="0">
              <a:solidFill>
                <a:schemeClr val="dk1"/>
              </a:solidFill>
              <a:effectLst/>
              <a:latin typeface="+mn-lt"/>
              <a:ea typeface="+mn-ea"/>
              <a:cs typeface="Aparajita" panose="020B0604020202020204" pitchFamily="34" charset="0"/>
            </a:rPr>
            <a:t>Se distribuirá y agrupará la actividad de la empresa </a:t>
          </a:r>
          <a:r>
            <a:rPr lang="es-ES" sz="900" baseline="0">
              <a:solidFill>
                <a:schemeClr val="dk1"/>
              </a:solidFill>
              <a:effectLst/>
              <a:latin typeface="+mn-lt"/>
              <a:ea typeface="+mn-ea"/>
              <a:cs typeface="Aparajita" panose="020B0604020202020204" pitchFamily="34" charset="0"/>
            </a:rPr>
            <a:t>por productos y/o servicios, por familias, por gamas, por líneas</a:t>
          </a:r>
          <a:r>
            <a:rPr lang="es-ES" sz="900">
              <a:solidFill>
                <a:schemeClr val="dk1"/>
              </a:solidFill>
              <a:effectLst/>
              <a:latin typeface="+mn-lt"/>
              <a:ea typeface="+mn-ea"/>
              <a:cs typeface="Aparajita" panose="020B0604020202020204" pitchFamily="34" charset="0"/>
            </a:rPr>
            <a:t> o por tipología de ingresos. Se</a:t>
          </a:r>
          <a:r>
            <a:rPr lang="es-ES" sz="900" baseline="0">
              <a:solidFill>
                <a:schemeClr val="dk1"/>
              </a:solidFill>
              <a:effectLst/>
              <a:latin typeface="+mn-lt"/>
              <a:ea typeface="+mn-ea"/>
              <a:cs typeface="Aparajita" panose="020B0604020202020204" pitchFamily="34" charset="0"/>
            </a:rPr>
            <a:t> describirán y trasladarán a las celdas de esta columna, teniendo</a:t>
          </a:r>
          <a:r>
            <a:rPr lang="es-ES" sz="900">
              <a:solidFill>
                <a:schemeClr val="dk1"/>
              </a:solidFill>
              <a:effectLst/>
              <a:latin typeface="+mn-lt"/>
              <a:ea typeface="+mn-ea"/>
              <a:cs typeface="Aparajita" panose="020B0604020202020204" pitchFamily="34" charset="0"/>
            </a:rPr>
            <a:t> en cuenta, para cada una de ellas, cual es la medida que</a:t>
          </a:r>
          <a:r>
            <a:rPr lang="es-ES" sz="900" baseline="0">
              <a:solidFill>
                <a:schemeClr val="dk1"/>
              </a:solidFill>
              <a:effectLst/>
              <a:latin typeface="+mn-lt"/>
              <a:ea typeface="+mn-ea"/>
              <a:cs typeface="Aparajita" panose="020B0604020202020204" pitchFamily="34" charset="0"/>
            </a:rPr>
            <a:t> se va a tomar como referencia, bien en unidades físicas (unidad de producto, hora de servicio, etc) o monetarias (euros a facturar).</a:t>
          </a:r>
        </a:p>
        <a:p>
          <a:pPr>
            <a:lnSpc>
              <a:spcPct val="100000"/>
            </a:lnSpc>
            <a:spcBef>
              <a:spcPts val="100"/>
            </a:spcBef>
            <a:spcAft>
              <a:spcPts val="100"/>
            </a:spcAft>
          </a:pPr>
          <a:r>
            <a:rPr lang="es-ES" sz="800" i="1" baseline="0">
              <a:solidFill>
                <a:schemeClr val="dk1"/>
              </a:solidFill>
              <a:effectLst/>
              <a:latin typeface="+mn-lt"/>
              <a:ea typeface="+mn-ea"/>
              <a:cs typeface="Aparajita" panose="020B0604020202020204" pitchFamily="34" charset="0"/>
            </a:rPr>
            <a:t>*Ejemplo. Estamos confeccionando el plan financiero de un proyecto empresarial que va a tener dos líneas de negocio:</a:t>
          </a:r>
        </a:p>
        <a:p>
          <a:pPr>
            <a:lnSpc>
              <a:spcPct val="100000"/>
            </a:lnSpc>
            <a:spcBef>
              <a:spcPts val="100"/>
            </a:spcBef>
            <a:spcAft>
              <a:spcPts val="100"/>
            </a:spcAft>
          </a:pPr>
          <a:r>
            <a:rPr lang="es-ES" sz="800" i="1" baseline="0">
              <a:solidFill>
                <a:schemeClr val="dk1"/>
              </a:solidFill>
              <a:effectLst/>
              <a:latin typeface="+mn-lt"/>
              <a:ea typeface="+mn-ea"/>
              <a:cs typeface="Aparajita" panose="020B0604020202020204" pitchFamily="34" charset="0"/>
            </a:rPr>
            <a:t>a) una destinada al "diseño y comercialización de piezas geométricas encajables de varios tamaños" que sirven como accesorios de moda, objetos de decoración para el hogar y elementos de construcción".  Por lo que el concepto a reflejar en una de las celdas de esta columna podría ser: "piezas geométricas", y</a:t>
          </a:r>
        </a:p>
        <a:p>
          <a:pPr>
            <a:lnSpc>
              <a:spcPct val="100000"/>
            </a:lnSpc>
            <a:spcBef>
              <a:spcPts val="100"/>
            </a:spcBef>
            <a:spcAft>
              <a:spcPts val="100"/>
            </a:spcAft>
          </a:pPr>
          <a:r>
            <a:rPr lang="es-ES" sz="800" i="1" baseline="0">
              <a:solidFill>
                <a:schemeClr val="dk1"/>
              </a:solidFill>
              <a:effectLst/>
              <a:latin typeface="+mn-lt"/>
              <a:ea typeface="+mn-ea"/>
              <a:cs typeface="Aparajita" panose="020B0604020202020204" pitchFamily="34" charset="0"/>
            </a:rPr>
            <a:t>b) otra destinada a la "consultoría de diseño artesanal", servicio que subcontrata a una consultora externa. El concepto a reflejar en otra celda de esta columna podría ser: "consultoría"</a:t>
          </a:r>
        </a:p>
        <a:p>
          <a:pPr>
            <a:lnSpc>
              <a:spcPct val="100000"/>
            </a:lnSpc>
            <a:spcBef>
              <a:spcPts val="100"/>
            </a:spcBef>
            <a:spcAft>
              <a:spcPts val="100"/>
            </a:spcAft>
          </a:pPr>
          <a:r>
            <a:rPr lang="es-ES" sz="800" i="1" baseline="0">
              <a:solidFill>
                <a:schemeClr val="dk1"/>
              </a:solidFill>
              <a:effectLst/>
              <a:latin typeface="+mn-lt"/>
              <a:ea typeface="+mn-ea"/>
              <a:cs typeface="Aparajita" panose="020B0604020202020204" pitchFamily="34" charset="0"/>
            </a:rPr>
            <a:t>Para la primera línea, debido a la variación de figuras y tamaños, establecemos como medida de referencia la monetaria (1 euro) y para la segunda línea la física (hora/consultoría).</a:t>
          </a:r>
        </a:p>
        <a:p>
          <a:pPr>
            <a:lnSpc>
              <a:spcPct val="100000"/>
            </a:lnSpc>
            <a:spcBef>
              <a:spcPts val="100"/>
            </a:spcBef>
            <a:spcAft>
              <a:spcPts val="100"/>
            </a:spcAft>
          </a:pPr>
          <a:endParaRPr lang="es-ES" sz="900" i="1">
            <a:solidFill>
              <a:schemeClr val="dk1"/>
            </a:solidFill>
            <a:effectLst/>
            <a:latin typeface="+mn-lt"/>
            <a:ea typeface="+mn-ea"/>
            <a:cs typeface="Aparajita" panose="020B0604020202020204" pitchFamily="34" charset="0"/>
          </a:endParaRP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rPr>
            <a:t>2º) </a:t>
          </a:r>
          <a:r>
            <a:rPr lang="es-ES" sz="900" b="1">
              <a:solidFill>
                <a:schemeClr val="dk1"/>
              </a:solidFill>
              <a:effectLst/>
              <a:latin typeface="+mn-lt"/>
              <a:ea typeface="+mn-ea"/>
              <a:cs typeface="Aparajita" panose="020B0604020202020204" pitchFamily="34" charset="0"/>
            </a:rPr>
            <a:t>¿A qué precio</a:t>
          </a:r>
          <a:r>
            <a:rPr lang="es-ES" sz="900" b="1" baseline="0">
              <a:solidFill>
                <a:schemeClr val="dk1"/>
              </a:solidFill>
              <a:effectLst/>
              <a:latin typeface="+mn-lt"/>
              <a:ea typeface="+mn-ea"/>
              <a:cs typeface="Aparajita" panose="020B0604020202020204" pitchFamily="34" charset="0"/>
            </a:rPr>
            <a:t> vamos a vender?</a:t>
          </a:r>
          <a:r>
            <a:rPr lang="es-ES" sz="900" baseline="0">
              <a:solidFill>
                <a:schemeClr val="dk1"/>
              </a:solidFill>
              <a:effectLst/>
              <a:latin typeface="+mn-lt"/>
              <a:ea typeface="+mn-ea"/>
              <a:cs typeface="Aparajita" panose="020B0604020202020204" pitchFamily="34" charset="0"/>
            </a:rPr>
            <a:t> Según la medida de referencia tomada, estableceremos el importe del precio del precio medio de venta sin IVA Repercutivo (el que se cobra al vender).</a:t>
          </a:r>
        </a:p>
        <a:p>
          <a:pPr>
            <a:lnSpc>
              <a:spcPct val="100000"/>
            </a:lnSpc>
            <a:spcBef>
              <a:spcPts val="100"/>
            </a:spcBef>
            <a:spcAft>
              <a:spcPts val="100"/>
            </a:spcAft>
          </a:pPr>
          <a:r>
            <a:rPr lang="es-ES" sz="800" i="1" baseline="0">
              <a:solidFill>
                <a:schemeClr val="dk1"/>
              </a:solidFill>
              <a:effectLst/>
              <a:latin typeface="+mn-lt"/>
              <a:ea typeface="+mn-ea"/>
              <a:cs typeface="Aparajita" panose="020B0604020202020204" pitchFamily="34" charset="0"/>
            </a:rPr>
            <a:t>*Siguiendo con el ejemplo:</a:t>
          </a:r>
        </a:p>
        <a:p>
          <a:pPr>
            <a:lnSpc>
              <a:spcPct val="100000"/>
            </a:lnSpc>
            <a:spcBef>
              <a:spcPts val="100"/>
            </a:spcBef>
            <a:spcAft>
              <a:spcPts val="100"/>
            </a:spcAft>
          </a:pPr>
          <a:r>
            <a:rPr lang="es-ES" sz="800" i="1" baseline="0">
              <a:solidFill>
                <a:schemeClr val="dk1"/>
              </a:solidFill>
              <a:effectLst/>
              <a:latin typeface="+mn-lt"/>
              <a:ea typeface="+mn-ea"/>
              <a:cs typeface="Aparajita" panose="020B0604020202020204" pitchFamily="34" charset="0"/>
            </a:rPr>
            <a:t>a) para la primera linea de negocio, el importe a reflejar en la celda correspondiente a este apartado será el del número 1 (base 1 euro de facturación),</a:t>
          </a:r>
        </a:p>
        <a:p>
          <a:pPr>
            <a:lnSpc>
              <a:spcPct val="100000"/>
            </a:lnSpc>
            <a:spcBef>
              <a:spcPts val="100"/>
            </a:spcBef>
            <a:spcAft>
              <a:spcPts val="100"/>
            </a:spcAft>
          </a:pPr>
          <a:r>
            <a:rPr lang="es-ES" sz="800" i="1" baseline="0">
              <a:solidFill>
                <a:schemeClr val="dk1"/>
              </a:solidFill>
              <a:effectLst/>
              <a:latin typeface="+mn-lt"/>
              <a:ea typeface="+mn-ea"/>
              <a:cs typeface="Aparajita" panose="020B0604020202020204" pitchFamily="34" charset="0"/>
            </a:rPr>
            <a:t>b) para la segunda linea, el importe a reflejar será de 80 euros/hora.</a:t>
          </a:r>
        </a:p>
        <a:p>
          <a:pPr>
            <a:lnSpc>
              <a:spcPct val="100000"/>
            </a:lnSpc>
            <a:spcBef>
              <a:spcPts val="100"/>
            </a:spcBef>
            <a:spcAft>
              <a:spcPts val="100"/>
            </a:spcAft>
          </a:pPr>
          <a:endParaRPr lang="es-ES" sz="900">
            <a:solidFill>
              <a:schemeClr val="dk1"/>
            </a:solidFill>
            <a:effectLst/>
            <a:latin typeface="+mn-lt"/>
            <a:ea typeface="+mn-ea"/>
            <a:cs typeface="Aparajita" panose="020B0604020202020204" pitchFamily="34" charset="0"/>
          </a:endParaRP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rPr>
            <a:t>Si el</a:t>
          </a:r>
          <a:r>
            <a:rPr lang="es-ES" sz="900" baseline="0">
              <a:solidFill>
                <a:schemeClr val="dk1"/>
              </a:solidFill>
              <a:effectLst/>
              <a:latin typeface="+mn-lt"/>
              <a:ea typeface="+mn-ea"/>
              <a:cs typeface="Aparajita" panose="020B0604020202020204" pitchFamily="34" charset="0"/>
            </a:rPr>
            <a:t> IVA Repercutido que afecta al producto/servicio, línea, gama o tipología de ingresos en cuestión es distinto al 21%, se puede modificar. Y si la actividad </a:t>
          </a:r>
          <a:r>
            <a:rPr lang="es-ES" sz="900">
              <a:solidFill>
                <a:schemeClr val="dk1"/>
              </a:solidFill>
              <a:effectLst/>
              <a:latin typeface="+mn-lt"/>
              <a:ea typeface="+mn-ea"/>
              <a:cs typeface="Aparajita" panose="020B0604020202020204" pitchFamily="34" charset="0"/>
            </a:rPr>
            <a:t>estuviese total o parcialmente exenta de IVA, se</a:t>
          </a:r>
          <a:r>
            <a:rPr lang="es-ES" sz="900" baseline="0">
              <a:solidFill>
                <a:schemeClr val="dk1"/>
              </a:solidFill>
              <a:effectLst/>
              <a:latin typeface="+mn-lt"/>
              <a:ea typeface="+mn-ea"/>
              <a:cs typeface="Aparajita" panose="020B0604020202020204" pitchFamily="34" charset="0"/>
            </a:rPr>
            <a:t> debe</a:t>
          </a:r>
          <a:r>
            <a:rPr lang="es-ES" sz="900">
              <a:solidFill>
                <a:schemeClr val="dk1"/>
              </a:solidFill>
              <a:effectLst/>
              <a:latin typeface="+mn-lt"/>
              <a:ea typeface="+mn-ea"/>
              <a:cs typeface="Aparajita" panose="020B0604020202020204" pitchFamily="34" charset="0"/>
            </a:rPr>
            <a:t> escribir 0% en las celdas de las familias con exención.</a:t>
          </a:r>
        </a:p>
        <a:p>
          <a:pPr>
            <a:lnSpc>
              <a:spcPct val="100000"/>
            </a:lnSpc>
            <a:spcBef>
              <a:spcPts val="100"/>
            </a:spcBef>
            <a:spcAft>
              <a:spcPts val="100"/>
            </a:spcAft>
          </a:pPr>
          <a:endParaRPr lang="es-ES" sz="900">
            <a:solidFill>
              <a:schemeClr val="dk1"/>
            </a:solidFill>
            <a:effectLst/>
            <a:latin typeface="+mn-lt"/>
            <a:ea typeface="+mn-ea"/>
            <a:cs typeface="Aparajita" panose="020B0604020202020204" pitchFamily="34" charset="0"/>
          </a:endParaRPr>
        </a:p>
        <a:p>
          <a:pPr>
            <a:lnSpc>
              <a:spcPct val="100000"/>
            </a:lnSpc>
            <a:spcBef>
              <a:spcPts val="100"/>
            </a:spcBef>
            <a:spcAft>
              <a:spcPts val="100"/>
            </a:spcAft>
          </a:pPr>
          <a:r>
            <a:rPr lang="es-ES" sz="900">
              <a:solidFill>
                <a:schemeClr val="dk1"/>
              </a:solidFill>
              <a:effectLst/>
              <a:latin typeface="+mn-lt"/>
              <a:ea typeface="+mn-ea"/>
              <a:cs typeface="Aparajita" panose="020B0604020202020204" pitchFamily="34" charset="0"/>
            </a:rPr>
            <a:t>3º) </a:t>
          </a:r>
          <a:r>
            <a:rPr lang="es-ES" sz="900" b="1">
              <a:solidFill>
                <a:schemeClr val="dk1"/>
              </a:solidFill>
              <a:effectLst/>
              <a:latin typeface="+mn-lt"/>
              <a:ea typeface="+mn-ea"/>
              <a:cs typeface="Aparajita" panose="020B0604020202020204" pitchFamily="34" charset="0"/>
            </a:rPr>
            <a:t>¿Cuál es el coste directo? </a:t>
          </a:r>
          <a:r>
            <a:rPr lang="es-ES" sz="900">
              <a:solidFill>
                <a:schemeClr val="dk1"/>
              </a:solidFill>
              <a:effectLst/>
              <a:latin typeface="+mn-lt"/>
              <a:ea typeface="+mn-ea"/>
              <a:cs typeface="Aparajita" panose="020B0604020202020204" pitchFamily="34" charset="0"/>
            </a:rPr>
            <a:t>Teniendo</a:t>
          </a:r>
          <a:r>
            <a:rPr lang="es-ES" sz="900" baseline="0">
              <a:solidFill>
                <a:schemeClr val="dk1"/>
              </a:solidFill>
              <a:effectLst/>
              <a:latin typeface="+mn-lt"/>
              <a:ea typeface="+mn-ea"/>
              <a:cs typeface="Aparajita" panose="020B0604020202020204" pitchFamily="34" charset="0"/>
            </a:rPr>
            <a:t> también en cuenta la medida de referencia tomada, estableceremos el precio medio de coste directo variable, sin IVA Soportado (el que se paga al adquirir el producto y/o servicio), pero sólo para aquellos productos/servicios, líneas, gamas o tipología de ingresos que lo soporte, pues puede que alguno sólo tenga gastos fijos o de estructura.</a:t>
          </a:r>
        </a:p>
        <a:p>
          <a:pPr>
            <a:lnSpc>
              <a:spcPct val="100000"/>
            </a:lnSpc>
            <a:spcBef>
              <a:spcPts val="100"/>
            </a:spcBef>
            <a:spcAft>
              <a:spcPts val="100"/>
            </a:spcAft>
          </a:pPr>
          <a:r>
            <a:rPr lang="es-ES" sz="800" i="1" baseline="0">
              <a:solidFill>
                <a:schemeClr val="dk1"/>
              </a:solidFill>
              <a:effectLst/>
              <a:latin typeface="+mn-lt"/>
              <a:ea typeface="+mn-ea"/>
              <a:cs typeface="Aparajita" panose="020B0604020202020204" pitchFamily="34" charset="0"/>
            </a:rPr>
            <a:t>* Ejemplo:</a:t>
          </a:r>
        </a:p>
        <a:p>
          <a:pPr>
            <a:lnSpc>
              <a:spcPct val="100000"/>
            </a:lnSpc>
            <a:spcBef>
              <a:spcPts val="100"/>
            </a:spcBef>
            <a:spcAft>
              <a:spcPts val="100"/>
            </a:spcAft>
          </a:pPr>
          <a:r>
            <a:rPr lang="es-ES" sz="800" i="1" baseline="0">
              <a:solidFill>
                <a:schemeClr val="dk1"/>
              </a:solidFill>
              <a:effectLst/>
              <a:latin typeface="+mn-lt"/>
              <a:ea typeface="+mn-ea"/>
              <a:cs typeface="Aparajita" panose="020B0604020202020204" pitchFamily="34" charset="0"/>
            </a:rPr>
            <a:t>a) esta línea tiene un coste directo del 65% del precio de venta, por lo que el importe a reflejar en la celda de la columna referente a este concepto será de 0,65 (como en la celda del precio medio de venta se ha reflejado 1 euro, en esta celda hay que reflejar el equivalente del porcentaje en valores absolutos, por lo que 65% en base 1 es 0,65),</a:t>
          </a:r>
        </a:p>
        <a:p>
          <a:pPr>
            <a:lnSpc>
              <a:spcPct val="100000"/>
            </a:lnSpc>
            <a:spcBef>
              <a:spcPts val="100"/>
            </a:spcBef>
            <a:spcAft>
              <a:spcPts val="100"/>
            </a:spcAft>
          </a:pPr>
          <a:r>
            <a:rPr lang="es-ES" sz="800" i="1" baseline="0">
              <a:solidFill>
                <a:schemeClr val="dk1"/>
              </a:solidFill>
              <a:effectLst/>
              <a:latin typeface="+mn-lt"/>
              <a:ea typeface="+mn-ea"/>
              <a:cs typeface="Aparajita" panose="020B0604020202020204" pitchFamily="34" charset="0"/>
            </a:rPr>
            <a:t>b) el coste directo de subcontratar a una empresa externa esta linea de servicio que ofrece, es de 65 euros/hora.</a:t>
          </a:r>
        </a:p>
        <a:p>
          <a:pPr>
            <a:lnSpc>
              <a:spcPct val="100000"/>
            </a:lnSpc>
            <a:spcBef>
              <a:spcPts val="100"/>
            </a:spcBef>
            <a:spcAft>
              <a:spcPts val="100"/>
            </a:spcAft>
          </a:pPr>
          <a:endParaRPr lang="es-ES" sz="900" i="1" baseline="0">
            <a:solidFill>
              <a:schemeClr val="dk1"/>
            </a:solidFill>
            <a:effectLst/>
            <a:latin typeface="+mn-lt"/>
            <a:ea typeface="+mn-ea"/>
            <a:cs typeface="Aparajita" panose="020B0604020202020204" pitchFamily="34" charset="0"/>
          </a:endParaRPr>
        </a:p>
        <a:p>
          <a:pPr>
            <a:lnSpc>
              <a:spcPct val="100000"/>
            </a:lnSpc>
            <a:spcBef>
              <a:spcPts val="100"/>
            </a:spcBef>
            <a:spcAft>
              <a:spcPts val="100"/>
            </a:spcAft>
          </a:pPr>
          <a:r>
            <a:rPr lang="es-ES" sz="900" i="0" baseline="0">
              <a:solidFill>
                <a:schemeClr val="dk1"/>
              </a:solidFill>
              <a:effectLst/>
              <a:latin typeface="+mn-lt"/>
              <a:ea typeface="+mn-ea"/>
              <a:cs typeface="Aparajita" panose="020B0604020202020204" pitchFamily="34" charset="0"/>
            </a:rPr>
            <a:t>Si el IVA Soportado de alguno o todos los productos/servicios, líneas, gamas o tipología de ingresos es distinto al 21%, o estuviese total o parcialmente exento de IVA, se puede modificar.</a:t>
          </a:r>
        </a:p>
        <a:p>
          <a:pPr>
            <a:lnSpc>
              <a:spcPct val="100000"/>
            </a:lnSpc>
            <a:spcBef>
              <a:spcPts val="100"/>
            </a:spcBef>
            <a:spcAft>
              <a:spcPts val="100"/>
            </a:spcAft>
          </a:pPr>
          <a:endParaRPr lang="es-ES" sz="900" i="0" baseline="0">
            <a:solidFill>
              <a:schemeClr val="dk1"/>
            </a:solidFill>
            <a:effectLst/>
            <a:latin typeface="+mn-lt"/>
            <a:ea typeface="+mn-ea"/>
            <a:cs typeface="Aparajita" panose="020B0604020202020204" pitchFamily="34" charset="0"/>
          </a:endParaRPr>
        </a:p>
        <a:p>
          <a:pPr>
            <a:lnSpc>
              <a:spcPts val="500"/>
            </a:lnSpc>
          </a:pPr>
          <a:endParaRPr lang="es-ES" sz="1000">
            <a:solidFill>
              <a:schemeClr val="dk1"/>
            </a:solidFill>
            <a:effectLst/>
            <a:latin typeface="+mn-lt"/>
            <a:ea typeface="+mn-ea"/>
            <a:cs typeface="Aparajita" panose="020B0604020202020204" pitchFamily="34" charset="0"/>
          </a:endParaRPr>
        </a:p>
        <a:p>
          <a:pPr>
            <a:lnSpc>
              <a:spcPts val="600"/>
            </a:lnSpc>
          </a:pPr>
          <a:endParaRPr lang="es-ES" sz="1000">
            <a:solidFill>
              <a:schemeClr val="dk1"/>
            </a:solidFill>
            <a:effectLst/>
            <a:latin typeface="+mn-lt"/>
            <a:ea typeface="+mn-ea"/>
            <a:cs typeface="Aparajita" panose="020B0604020202020204" pitchFamily="34" charset="0"/>
          </a:endParaRPr>
        </a:p>
        <a:p>
          <a:pPr>
            <a:lnSpc>
              <a:spcPts val="600"/>
            </a:lnSpc>
          </a:pPr>
          <a:endParaRPr lang="es-ES" sz="1000">
            <a:latin typeface="+mn-lt"/>
            <a:cs typeface="Aparajita" panose="020B0604020202020204" pitchFamily="34" charset="0"/>
          </a:endParaRPr>
        </a:p>
      </xdr:txBody>
    </xdr:sp>
    <xdr:clientData/>
  </xdr:twoCellAnchor>
  <xdr:twoCellAnchor>
    <xdr:from>
      <xdr:col>0</xdr:col>
      <xdr:colOff>127002</xdr:colOff>
      <xdr:row>439</xdr:row>
      <xdr:rowOff>39684</xdr:rowOff>
    </xdr:from>
    <xdr:to>
      <xdr:col>3</xdr:col>
      <xdr:colOff>238124</xdr:colOff>
      <xdr:row>459</xdr:row>
      <xdr:rowOff>95250</xdr:rowOff>
    </xdr:to>
    <xdr:sp macro="" textlink="">
      <xdr:nvSpPr>
        <xdr:cNvPr id="18" name="CuadroTexto 17">
          <a:extLst>
            <a:ext uri="{FF2B5EF4-FFF2-40B4-BE49-F238E27FC236}">
              <a16:creationId xmlns:a16="http://schemas.microsoft.com/office/drawing/2014/main" id="{00000000-0008-0000-0200-000012000000}"/>
            </a:ext>
          </a:extLst>
        </xdr:cNvPr>
        <xdr:cNvSpPr txBox="1"/>
      </xdr:nvSpPr>
      <xdr:spPr>
        <a:xfrm>
          <a:off x="127002" y="69715059"/>
          <a:ext cx="7723185" cy="3230566"/>
        </a:xfrm>
        <a:prstGeom prst="rect">
          <a:avLst/>
        </a:prstGeom>
        <a:solidFill>
          <a:srgbClr val="FFFF72"/>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s-ES" sz="900" b="1"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Nota:</a:t>
          </a:r>
        </a:p>
        <a:p>
          <a:pPr marL="0" marR="0" lvl="0" indent="0" defTabSz="914400" eaLnBrk="1" fontAlgn="auto" latinLnBrk="0" hangingPunct="1">
            <a:lnSpc>
              <a:spcPts val="800"/>
            </a:lnSpc>
            <a:spcBef>
              <a:spcPts val="0"/>
            </a:spcBef>
            <a:spcAft>
              <a:spcPts val="0"/>
            </a:spcAft>
            <a:buClrTx/>
            <a:buSzTx/>
            <a:buFontTx/>
            <a:buNone/>
            <a:tabLst/>
            <a:defRPr/>
          </a:pPr>
          <a:endParaRPr kumimoji="0" lang="es-ES" sz="900" b="1"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ES" sz="900" baseline="0">
              <a:solidFill>
                <a:schemeClr val="tx1">
                  <a:lumMod val="65000"/>
                  <a:lumOff val="35000"/>
                </a:schemeClr>
              </a:solidFill>
              <a:effectLst/>
              <a:latin typeface="+mn-lt"/>
              <a:ea typeface="+mn-ea"/>
              <a:cs typeface="+mn-cs"/>
            </a:rPr>
            <a:t>Esta Plantilla "Plan E-Financiero" puede transformarse en una Plantilla para hacer Planificación Financiera a Medio y Largo Plazo (para hasta máximo 5 años). Para ello hay que desocultar las </a:t>
          </a:r>
          <a:r>
            <a:rPr kumimoji="0" lang="es-ES" sz="900" b="1"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Hojas Ocultas </a:t>
          </a: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que puedan ser de utilidad. Todas estas hojas ocultas son</a:t>
          </a:r>
          <a:r>
            <a:rPr kumimoji="0" lang="es-ES" sz="900" b="1"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las que comienzan por "(0) ......"</a:t>
          </a:r>
          <a:endPar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Para desocultarlas: "mostrar hoja", pinchar la que se quiera visualizar y "aceptar".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Estas Hojas Ocultas a las que se hace referencia - que comienzan por (0) - son las siguientes:</a:t>
          </a:r>
        </a:p>
        <a:p>
          <a:pPr marL="0" marR="0" lvl="0" indent="0" defTabSz="914400" eaLnBrk="1" fontAlgn="auto" latinLnBrk="0" hangingPunct="1">
            <a:lnSpc>
              <a:spcPts val="800"/>
            </a:lnSpc>
            <a:spcBef>
              <a:spcPts val="0"/>
            </a:spcBef>
            <a:spcAft>
              <a:spcPts val="0"/>
            </a:spcAft>
            <a:buClrTx/>
            <a:buSzTx/>
            <a:buFontTx/>
            <a:buNone/>
            <a:tabLst/>
            <a:defRPr/>
          </a:pPr>
          <a:endPar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(0) 1a. Activos de Partida</a:t>
          </a:r>
        </a:p>
        <a:p>
          <a:pPr marL="0" marR="0" lvl="0" indent="0" defTabSz="914400" eaLnBrk="1" fontAlgn="auto" latinLnBrk="0" hangingPunct="1">
            <a:lnSpc>
              <a:spcPts val="800"/>
            </a:lnSpc>
            <a:spcBef>
              <a:spcPts val="0"/>
            </a:spcBef>
            <a:spcAft>
              <a:spcPts val="0"/>
            </a:spcAft>
            <a:buClrTx/>
            <a:buSzTx/>
            <a:buFontTx/>
            <a:buNone/>
            <a:tabLst/>
            <a:defRPr/>
          </a:pPr>
          <a:endPar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(0) 1b. Pasivos de Partida</a:t>
          </a:r>
        </a:p>
        <a:p>
          <a:pPr marL="0" marR="0" lvl="0" indent="0" defTabSz="914400" eaLnBrk="1" fontAlgn="auto" latinLnBrk="0" hangingPunct="1">
            <a:lnSpc>
              <a:spcPts val="800"/>
            </a:lnSpc>
            <a:spcBef>
              <a:spcPts val="0"/>
            </a:spcBef>
            <a:spcAft>
              <a:spcPts val="0"/>
            </a:spcAft>
            <a:buClrTx/>
            <a:buSzTx/>
            <a:buFontTx/>
            <a:buNone/>
            <a:tabLst/>
            <a:defRPr/>
          </a:pPr>
          <a:endPar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(0) 3a. Préstam Particip.</a:t>
          </a:r>
        </a:p>
        <a:p>
          <a:pPr marL="0" marR="0" lvl="0" indent="0" defTabSz="914400" eaLnBrk="1" fontAlgn="auto" latinLnBrk="0" hangingPunct="1">
            <a:lnSpc>
              <a:spcPts val="800"/>
            </a:lnSpc>
            <a:spcBef>
              <a:spcPts val="0"/>
            </a:spcBef>
            <a:spcAft>
              <a:spcPts val="0"/>
            </a:spcAft>
            <a:buClrTx/>
            <a:buSzTx/>
            <a:buFontTx/>
            <a:buNone/>
            <a:tabLst/>
            <a:defRPr/>
          </a:pPr>
          <a:endPar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(0) 3b. Préstam Financ. </a:t>
          </a:r>
        </a:p>
        <a:p>
          <a:pPr marL="0" marR="0" lvl="0" indent="0" defTabSz="914400" eaLnBrk="1" fontAlgn="auto" latinLnBrk="0" hangingPunct="1">
            <a:lnSpc>
              <a:spcPts val="700"/>
            </a:lnSpc>
            <a:spcBef>
              <a:spcPts val="0"/>
            </a:spcBef>
            <a:spcAft>
              <a:spcPts val="0"/>
            </a:spcAft>
            <a:buClrTx/>
            <a:buSzTx/>
            <a:buFontTx/>
            <a:buNone/>
            <a:tabLst/>
            <a:defRPr/>
          </a:pPr>
          <a:endPar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(0) 3c. Cuadro Renting</a:t>
          </a:r>
        </a:p>
        <a:p>
          <a:pPr marL="0" marR="0" lvl="0" indent="0" defTabSz="914400" eaLnBrk="1" fontAlgn="auto" latinLnBrk="0" hangingPunct="1">
            <a:lnSpc>
              <a:spcPts val="700"/>
            </a:lnSpc>
            <a:spcBef>
              <a:spcPts val="0"/>
            </a:spcBef>
            <a:spcAft>
              <a:spcPts val="0"/>
            </a:spcAft>
            <a:buClrTx/>
            <a:buSzTx/>
            <a:buFontTx/>
            <a:buNone/>
            <a:tabLst/>
            <a:defRPr/>
          </a:pPr>
          <a:endPar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(0) 4. Resumen Balances (5 Ej)</a:t>
          </a:r>
        </a:p>
        <a:p>
          <a:pPr marL="0" marR="0" lvl="0" indent="0" defTabSz="914400" eaLnBrk="1" fontAlgn="auto" latinLnBrk="0" hangingPunct="1">
            <a:lnSpc>
              <a:spcPts val="700"/>
            </a:lnSpc>
            <a:spcBef>
              <a:spcPts val="0"/>
            </a:spcBef>
            <a:spcAft>
              <a:spcPts val="0"/>
            </a:spcAft>
            <a:buClrTx/>
            <a:buSzTx/>
            <a:buFontTx/>
            <a:buNone/>
            <a:tabLst/>
            <a:defRPr/>
          </a:pPr>
          <a:endPar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(0) 5. Resumen P y G (5 Ej)</a:t>
          </a:r>
        </a:p>
        <a:p>
          <a:pPr marL="0" marR="0" lvl="0" indent="0" defTabSz="914400" eaLnBrk="1" fontAlgn="auto" latinLnBrk="0" hangingPunct="1">
            <a:lnSpc>
              <a:spcPts val="700"/>
            </a:lnSpc>
            <a:spcBef>
              <a:spcPts val="0"/>
            </a:spcBef>
            <a:spcAft>
              <a:spcPts val="0"/>
            </a:spcAft>
            <a:buClrTx/>
            <a:buSzTx/>
            <a:buFontTx/>
            <a:buNone/>
            <a:tabLst/>
            <a:defRPr/>
          </a:pPr>
          <a:endPar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(0) 6. Indicadores - Objetivos</a:t>
          </a:r>
        </a:p>
        <a:p>
          <a:pPr marL="0" marR="0" lvl="0" indent="0" defTabSz="914400" eaLnBrk="1" fontAlgn="auto" latinLnBrk="0" hangingPunct="1">
            <a:lnSpc>
              <a:spcPts val="700"/>
            </a:lnSpc>
            <a:spcBef>
              <a:spcPts val="0"/>
            </a:spcBef>
            <a:spcAft>
              <a:spcPts val="0"/>
            </a:spcAft>
            <a:buClrTx/>
            <a:buSzTx/>
            <a:buFontTx/>
            <a:buNone/>
            <a:tabLst/>
            <a:defRPr/>
          </a:pPr>
          <a:endPar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endParaRPr>
        </a:p>
        <a:p>
          <a:pPr marL="0" marR="0" lvl="0" indent="0" defTabSz="914400" eaLnBrk="1" fontAlgn="auto" latinLnBrk="0" hangingPunct="1">
            <a:lnSpc>
              <a:spcPts val="800"/>
            </a:lnSpc>
            <a:spcBef>
              <a:spcPts val="100"/>
            </a:spcBef>
            <a:spcAft>
              <a:spcPts val="10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Una vez visible/s, se puede entrar a la/s misma/s:</a:t>
          </a:r>
        </a:p>
        <a:p>
          <a:pPr marL="0" marR="0" lvl="0" indent="0" defTabSz="914400" eaLnBrk="1" fontAlgn="auto" latinLnBrk="0" hangingPunct="1">
            <a:lnSpc>
              <a:spcPts val="800"/>
            </a:lnSpc>
            <a:spcBef>
              <a:spcPts val="100"/>
            </a:spcBef>
            <a:spcAft>
              <a:spcPts val="10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pinchando la pestaña inferior, o</a:t>
          </a:r>
        </a:p>
        <a:p>
          <a:pPr marL="0" marR="0" lvl="0" indent="0" defTabSz="914400" eaLnBrk="1" fontAlgn="auto" latinLnBrk="0" hangingPunct="1">
            <a:lnSpc>
              <a:spcPts val="800"/>
            </a:lnSpc>
            <a:spcBef>
              <a:spcPts val="100"/>
            </a:spcBef>
            <a:spcAft>
              <a:spcPts val="10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yendo a la hoja "Indice" y en el cuadro de la derecha, el que tiene escritas las letras más difuminadas, pinchar la hoja que se requiere.</a:t>
          </a:r>
        </a:p>
        <a:p>
          <a:pPr marL="0" marR="0" lvl="0" indent="0" defTabSz="914400" eaLnBrk="1" fontAlgn="auto" latinLnBrk="0" hangingPunct="1">
            <a:lnSpc>
              <a:spcPts val="700"/>
            </a:lnSpc>
            <a:spcBef>
              <a:spcPts val="0"/>
            </a:spcBef>
            <a:spcAft>
              <a:spcPts val="0"/>
            </a:spcAft>
            <a:buClrTx/>
            <a:buSzTx/>
            <a:buFontTx/>
            <a:buNone/>
            <a:tabLst/>
            <a:defRPr/>
          </a:pPr>
          <a:r>
            <a:rPr kumimoji="0" lang="es-ES" sz="900" b="0" i="0" u="none" strike="noStrike" kern="0" cap="none" spc="0" normalizeH="0" baseline="0" noProof="0">
              <a:ln>
                <a:noFill/>
              </a:ln>
              <a:solidFill>
                <a:schemeClr val="tx1">
                  <a:lumMod val="65000"/>
                  <a:lumOff val="35000"/>
                </a:schemeClr>
              </a:solidFill>
              <a:effectLst/>
              <a:uLnTx/>
              <a:uFillTx/>
              <a:latin typeface="+mn-lt"/>
              <a:ea typeface="+mn-ea"/>
              <a:cs typeface="Aparajita" panose="020B0604020202020204" pitchFamily="34" charset="0"/>
            </a:rPr>
            <a:t> </a:t>
          </a:r>
        </a:p>
        <a:p>
          <a:pPr lvl="0">
            <a:lnSpc>
              <a:spcPts val="900"/>
            </a:lnSpc>
          </a:pPr>
          <a:endParaRPr lang="es-ES" sz="900" b="0" baseline="0">
            <a:solidFill>
              <a:schemeClr val="tx1">
                <a:lumMod val="65000"/>
                <a:lumOff val="35000"/>
              </a:schemeClr>
            </a:solidFill>
            <a:effectLst/>
            <a:latin typeface="+mn-lt"/>
            <a:ea typeface="+mn-ea"/>
            <a:cs typeface="Aparajita" panose="020B0604020202020204" pitchFamily="34" charset="0"/>
          </a:endParaRPr>
        </a:p>
      </xdr:txBody>
    </xdr:sp>
    <xdr:clientData/>
  </xdr:twoCellAnchor>
  <xdr:twoCellAnchor editAs="oneCell">
    <xdr:from>
      <xdr:col>0</xdr:col>
      <xdr:colOff>122238</xdr:colOff>
      <xdr:row>0</xdr:row>
      <xdr:rowOff>80962</xdr:rowOff>
    </xdr:from>
    <xdr:to>
      <xdr:col>0</xdr:col>
      <xdr:colOff>369888</xdr:colOff>
      <xdr:row>1</xdr:row>
      <xdr:rowOff>90487</xdr:rowOff>
    </xdr:to>
    <xdr:pic>
      <xdr:nvPicPr>
        <xdr:cNvPr id="25274166" name="3 Imagen" descr="Logo1">
          <a:extLst>
            <a:ext uri="{FF2B5EF4-FFF2-40B4-BE49-F238E27FC236}">
              <a16:creationId xmlns:a16="http://schemas.microsoft.com/office/drawing/2014/main" id="{00000000-0008-0000-0200-000036A781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238" y="80962"/>
          <a:ext cx="247650" cy="160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1784350</xdr:colOff>
      <xdr:row>12</xdr:row>
      <xdr:rowOff>112712</xdr:rowOff>
    </xdr:from>
    <xdr:to>
      <xdr:col>0</xdr:col>
      <xdr:colOff>2346325</xdr:colOff>
      <xdr:row>13</xdr:row>
      <xdr:rowOff>103187</xdr:rowOff>
    </xdr:to>
    <xdr:sp macro="" textlink="">
      <xdr:nvSpPr>
        <xdr:cNvPr id="4" name="Rectángulo 3">
          <a:extLst>
            <a:ext uri="{FF2B5EF4-FFF2-40B4-BE49-F238E27FC236}">
              <a16:creationId xmlns:a16="http://schemas.microsoft.com/office/drawing/2014/main" id="{00000000-0008-0000-0200-000004000000}"/>
            </a:ext>
          </a:extLst>
        </xdr:cNvPr>
        <xdr:cNvSpPr/>
      </xdr:nvSpPr>
      <xdr:spPr bwMode="auto">
        <a:xfrm>
          <a:off x="1784350" y="1985962"/>
          <a:ext cx="561975" cy="149225"/>
        </a:xfrm>
        <a:prstGeom prst="rect">
          <a:avLst/>
        </a:prstGeom>
        <a:solidFill>
          <a:srgbClr val="D0FF4B"/>
        </a:solidFill>
        <a:ln w="9525" cap="flat" cmpd="sng" algn="ctr">
          <a:solidFill>
            <a:srgbClr val="D0FF4B"/>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es-ES" sz="1100"/>
        </a:p>
      </xdr:txBody>
    </xdr:sp>
    <xdr:clientData/>
  </xdr:twoCellAnchor>
  <xdr:twoCellAnchor>
    <xdr:from>
      <xdr:col>0</xdr:col>
      <xdr:colOff>119063</xdr:colOff>
      <xdr:row>86</xdr:row>
      <xdr:rowOff>2</xdr:rowOff>
    </xdr:from>
    <xdr:to>
      <xdr:col>3</xdr:col>
      <xdr:colOff>214312</xdr:colOff>
      <xdr:row>137</xdr:row>
      <xdr:rowOff>134939</xdr:rowOff>
    </xdr:to>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19063" y="13604877"/>
          <a:ext cx="7707312" cy="8278812"/>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800"/>
            </a:lnSpc>
            <a:spcBef>
              <a:spcPts val="100"/>
            </a:spcBef>
            <a:spcAft>
              <a:spcPts val="100"/>
            </a:spcAft>
            <a:defRPr sz="1000"/>
          </a:pPr>
          <a:r>
            <a:rPr lang="es-ES" sz="900" b="1" i="0" u="none" strike="noStrike" baseline="0">
              <a:solidFill>
                <a:srgbClr val="000000"/>
              </a:solidFill>
              <a:latin typeface="+mn-lt"/>
              <a:cs typeface="Aparajita"/>
            </a:rPr>
            <a:t>2. Ventas y Cobros (Ej 1º, 2º)</a:t>
          </a:r>
          <a:r>
            <a:rPr lang="es-ES" sz="900" b="0" i="0" u="none" strike="noStrike" baseline="0">
              <a:solidFill>
                <a:srgbClr val="000000"/>
              </a:solidFill>
              <a:latin typeface="+mn-lt"/>
              <a:cs typeface="Aparajita"/>
            </a:rPr>
            <a:t> </a:t>
          </a:r>
          <a:r>
            <a:rPr lang="es-ES" sz="900" b="0" i="1" u="none" strike="noStrike" baseline="0">
              <a:solidFill>
                <a:srgbClr val="000000"/>
              </a:solidFill>
              <a:latin typeface="+mn-lt"/>
              <a:cs typeface="Aparajita"/>
            </a:rPr>
            <a:t>(4 páginas)</a:t>
          </a:r>
        </a:p>
        <a:p>
          <a:pPr algn="l" rtl="0">
            <a:lnSpc>
              <a:spcPts val="800"/>
            </a:lnSpc>
            <a:spcBef>
              <a:spcPts val="100"/>
            </a:spcBef>
            <a:spcAft>
              <a:spcPts val="100"/>
            </a:spcAft>
            <a:defRPr sz="1000"/>
          </a:pPr>
          <a:endParaRPr lang="es-ES" sz="900" b="0" i="0" u="none" strike="noStrike" baseline="0">
            <a:solidFill>
              <a:srgbClr val="000000"/>
            </a:solidFill>
            <a:latin typeface="+mn-lt"/>
            <a:cs typeface="Aparajita"/>
          </a:endParaRP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En esta hoja va a quedar reflejado el volumen y distribución de los Ingresos (Presupuesto de Ventas) así como la política y forma  de Cobro de los mismos, para el 1º y 2º ejercicios económicos planificados, periodificado por meses.</a:t>
          </a:r>
        </a:p>
        <a:p>
          <a:pPr algn="l" rtl="0">
            <a:lnSpc>
              <a:spcPct val="100000"/>
            </a:lnSpc>
            <a:spcBef>
              <a:spcPts val="100"/>
            </a:spcBef>
            <a:spcAft>
              <a:spcPts val="100"/>
            </a:spcAft>
            <a:defRPr sz="1000"/>
          </a:pPr>
          <a:endParaRPr lang="es-ES" sz="900" b="0" i="0" u="none" strike="noStrike" baseline="0">
            <a:solidFill>
              <a:srgbClr val="000000"/>
            </a:solidFill>
            <a:latin typeface="+mn-lt"/>
            <a:cs typeface="Aparajita"/>
          </a:endParaRPr>
        </a:p>
        <a:p>
          <a:pPr algn="l" rtl="0">
            <a:lnSpc>
              <a:spcPct val="100000"/>
            </a:lnSpc>
            <a:spcBef>
              <a:spcPts val="100"/>
            </a:spcBef>
            <a:spcAft>
              <a:spcPts val="100"/>
            </a:spcAft>
            <a:defRPr sz="1000"/>
          </a:pPr>
          <a:r>
            <a:rPr lang="es-ES" sz="900">
              <a:solidFill>
                <a:schemeClr val="dk1"/>
              </a:solidFill>
              <a:effectLst/>
              <a:latin typeface="+mn-lt"/>
              <a:ea typeface="+mn-ea"/>
              <a:cs typeface="+mn-cs"/>
              <a:sym typeface="Marlett" pitchFamily="2" charset="2"/>
            </a:rPr>
            <a:t>El</a:t>
          </a:r>
          <a:r>
            <a:rPr lang="es-ES" sz="900" baseline="0">
              <a:solidFill>
                <a:schemeClr val="dk1"/>
              </a:solidFill>
              <a:effectLst/>
              <a:latin typeface="+mn-lt"/>
              <a:ea typeface="+mn-ea"/>
              <a:cs typeface="+mn-cs"/>
              <a:sym typeface="Marlett" pitchFamily="2" charset="2"/>
            </a:rPr>
            <a:t> primer cuadro "Presupuesto de venta", en el que hay que reflejar </a:t>
          </a:r>
          <a:r>
            <a:rPr lang="es-ES" sz="900" b="1" baseline="0">
              <a:solidFill>
                <a:schemeClr val="dk1"/>
              </a:solidFill>
              <a:effectLst/>
              <a:latin typeface="+mn-lt"/>
              <a:ea typeface="+mn-ea"/>
              <a:cs typeface="+mn-cs"/>
              <a:sym typeface="Marlett" pitchFamily="2" charset="2"/>
            </a:rPr>
            <a:t>¿cuánto vamos a vender?</a:t>
          </a:r>
          <a:r>
            <a:rPr lang="es-ES" sz="900" b="0" baseline="0">
              <a:solidFill>
                <a:schemeClr val="dk1"/>
              </a:solidFill>
              <a:effectLst/>
              <a:latin typeface="+mn-lt"/>
              <a:ea typeface="+mn-ea"/>
              <a:cs typeface="+mn-cs"/>
              <a:sym typeface="Marlett" pitchFamily="2" charset="2"/>
            </a:rPr>
            <a:t>,</a:t>
          </a:r>
          <a:r>
            <a:rPr lang="es-ES" sz="900" b="1" baseline="0">
              <a:solidFill>
                <a:schemeClr val="dk1"/>
              </a:solidFill>
              <a:effectLst/>
              <a:latin typeface="+mn-lt"/>
              <a:ea typeface="+mn-ea"/>
              <a:cs typeface="+mn-cs"/>
              <a:sym typeface="Marlett" pitchFamily="2" charset="2"/>
            </a:rPr>
            <a:t> </a:t>
          </a:r>
          <a:r>
            <a:rPr lang="es-ES" sz="900" baseline="0">
              <a:solidFill>
                <a:schemeClr val="dk1"/>
              </a:solidFill>
              <a:effectLst/>
              <a:latin typeface="+mn-lt"/>
              <a:ea typeface="+mn-ea"/>
              <a:cs typeface="+mn-cs"/>
              <a:sym typeface="Marlett" pitchFamily="2" charset="2"/>
            </a:rPr>
            <a:t>tenemos que traer los datos a insertar en las celdas de color verde de las filas 9,11,13,15,17,19 y 21, del Plan de Marketing. </a:t>
          </a:r>
        </a:p>
        <a:p>
          <a:pPr algn="l" rtl="0">
            <a:lnSpc>
              <a:spcPct val="100000"/>
            </a:lnSpc>
            <a:spcBef>
              <a:spcPts val="100"/>
            </a:spcBef>
            <a:spcAft>
              <a:spcPts val="100"/>
            </a:spcAft>
            <a:defRPr sz="1000"/>
          </a:pPr>
          <a:r>
            <a:rPr lang="es-ES" sz="900" baseline="0">
              <a:solidFill>
                <a:schemeClr val="dk1"/>
              </a:solidFill>
              <a:effectLst/>
              <a:latin typeface="+mn-lt"/>
              <a:ea typeface="+mn-ea"/>
              <a:cs typeface="+mn-cs"/>
              <a:sym typeface="Marlett" pitchFamily="2" charset="2"/>
            </a:rPr>
            <a:t>ntes de introducir datos en este cuadro hay que tener en cuenta lo siguiente:</a:t>
          </a:r>
          <a:endParaRPr lang="es-ES" sz="900" b="0" i="0" u="none" strike="noStrike" baseline="0">
            <a:solidFill>
              <a:srgbClr val="000000"/>
            </a:solidFill>
            <a:latin typeface="+mn-lt"/>
            <a:cs typeface="Aparajita"/>
          </a:endParaRP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Si en la </a:t>
          </a:r>
          <a:r>
            <a:rPr lang="es-ES" sz="900" b="1" i="0" u="none" strike="noStrike" baseline="0">
              <a:solidFill>
                <a:srgbClr val="000000"/>
              </a:solidFill>
              <a:latin typeface="+mn-lt"/>
              <a:cs typeface="Aparajita"/>
            </a:rPr>
            <a:t>hoja 1</a:t>
          </a:r>
          <a:r>
            <a:rPr lang="es-ES" sz="900" b="0" i="0" u="none" strike="noStrike" baseline="0">
              <a:solidFill>
                <a:srgbClr val="000000"/>
              </a:solidFill>
              <a:latin typeface="+mn-lt"/>
              <a:cs typeface="Aparajita"/>
            </a:rPr>
            <a:t> los Precios Venta Unitarios se han determinado en base a unidades físicas (ejemplo: por hora), en las celdas de las “unidades a vender” o “euros a facturar” de esta hoja, hay que estimar unidades físicas/mes a vender (ejemplo: número de horas a facturar al mes).</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Si en la </a:t>
          </a:r>
          <a:r>
            <a:rPr lang="es-ES" sz="900" b="1" i="0" u="none" strike="noStrike" baseline="0">
              <a:solidFill>
                <a:srgbClr val="000000"/>
              </a:solidFill>
              <a:latin typeface="+mn-lt"/>
              <a:cs typeface="Aparajita"/>
            </a:rPr>
            <a:t>hoja 1</a:t>
          </a:r>
          <a:r>
            <a:rPr lang="es-ES" sz="900" b="0" i="0" u="none" strike="noStrike" baseline="0">
              <a:solidFill>
                <a:srgbClr val="000000"/>
              </a:solidFill>
              <a:latin typeface="+mn-lt"/>
              <a:cs typeface="Aparajita"/>
            </a:rPr>
            <a:t> los Precios Venta Unitarios se han determinado en base a unidades monetarias (ejemplo: 1 euro), en las celdas de las “unidades a vender” o “euros a facturar” de esta hoja, hay que estimar euros/mes a facturar (ejemplo: total de euros a facturar al mes).</a:t>
          </a:r>
        </a:p>
        <a:p>
          <a:pPr algn="l" rtl="0">
            <a:lnSpc>
              <a:spcPct val="100000"/>
            </a:lnSpc>
            <a:spcBef>
              <a:spcPts val="100"/>
            </a:spcBef>
            <a:spcAft>
              <a:spcPts val="100"/>
            </a:spcAft>
            <a:defRPr sz="1000"/>
          </a:pPr>
          <a:endParaRPr lang="es-ES" sz="900" b="0" i="0" u="none" strike="noStrike" baseline="0">
            <a:solidFill>
              <a:srgbClr val="000000"/>
            </a:solidFill>
            <a:latin typeface="+mn-lt"/>
            <a:cs typeface="Aparajita"/>
          </a:endParaRP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Si se conoce que variación respecto al mes anterior se estima que tendrán las ventas mes a mes, en vez de modificar las celdas verdes de las uds a vender o euros a facturar de las filas 9,.., a 21, se pueden reflejar estos porcentajes de variación, aumentos o disminuciones respecto al mes anterior, en las celdas de la fila 6.</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La última celda del primer cuadro, abajo a la derecha (celda P29, para el 1º ejercicio económico), aporta una información fundamental en lo que respecta a la viabilidad del proyecto. Se trata de la obtención, en unidades monetarias (en euros), del </a:t>
          </a:r>
          <a:r>
            <a:rPr lang="es-ES" sz="900" b="1" i="0" u="none" strike="noStrike" baseline="0">
              <a:solidFill>
                <a:srgbClr val="000000"/>
              </a:solidFill>
              <a:latin typeface="+mn-lt"/>
              <a:cs typeface="Aparajita"/>
            </a:rPr>
            <a:t>Punto de Equilibrio </a:t>
          </a:r>
          <a:r>
            <a:rPr lang="es-ES" sz="900" b="0" i="0" u="none" strike="noStrike" baseline="0">
              <a:solidFill>
                <a:srgbClr val="000000"/>
              </a:solidFill>
              <a:latin typeface="+mn-lt"/>
              <a:cs typeface="Aparajita"/>
            </a:rPr>
            <a:t>(también llamado: </a:t>
          </a:r>
          <a:r>
            <a:rPr lang="es-ES" sz="900" b="1" i="0" u="none" strike="noStrike" baseline="0">
              <a:solidFill>
                <a:srgbClr val="000000"/>
              </a:solidFill>
              <a:latin typeface="+mn-lt"/>
              <a:cs typeface="Aparajita"/>
            </a:rPr>
            <a:t>Umbral de Rentabilidad</a:t>
          </a:r>
          <a:r>
            <a:rPr lang="es-ES" sz="900" b="0" i="0" u="none" strike="noStrike" baseline="0">
              <a:solidFill>
                <a:srgbClr val="000000"/>
              </a:solidFill>
              <a:latin typeface="+mn-lt"/>
              <a:cs typeface="Aparajita"/>
            </a:rPr>
            <a:t>, </a:t>
          </a:r>
          <a:r>
            <a:rPr lang="es-ES" sz="900" b="1" i="0" u="none" strike="noStrike" baseline="0">
              <a:solidFill>
                <a:srgbClr val="000000"/>
              </a:solidFill>
              <a:latin typeface="+mn-lt"/>
              <a:cs typeface="Aparajita"/>
            </a:rPr>
            <a:t>Break-Even Point</a:t>
          </a:r>
          <a:r>
            <a:rPr lang="es-ES" sz="900" b="0" i="0" u="none" strike="noStrike" baseline="0">
              <a:solidFill>
                <a:srgbClr val="000000"/>
              </a:solidFill>
              <a:latin typeface="+mn-lt"/>
              <a:cs typeface="Aparajita"/>
            </a:rPr>
            <a:t>, Punto Crítico, Punto Muerto o Punto de Indiferencia), importe que indica cuál es la cifra de ventas (ingresos) que debe alcanzar la empresa, durante el ejercicio económico en cuestión, para que cubra todos los gastos.</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Cuando una empresa llega a facturar lo que supone el Umbral de Rentabilidad, no tendrá ni beneficios ni pérdidas.</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Una vez reflejadas las “unidades a vender” o “euros a facturar” en las celdas correspondientes del primer cuadro, se calculará el Total Ventas anuales (celda P25, para el primer ejercicio económico). </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Este </a:t>
          </a:r>
          <a:r>
            <a:rPr lang="es-ES" sz="900" b="1" i="0" u="none" strike="noStrike" baseline="0">
              <a:solidFill>
                <a:srgbClr val="000000"/>
              </a:solidFill>
              <a:latin typeface="+mn-lt"/>
              <a:cs typeface="Aparajita"/>
            </a:rPr>
            <a:t>Total de Ventas anuales </a:t>
          </a:r>
          <a:r>
            <a:rPr lang="es-ES" sz="900" b="0" i="0" u="none" strike="noStrike" baseline="0">
              <a:solidFill>
                <a:srgbClr val="000000"/>
              </a:solidFill>
              <a:latin typeface="+mn-lt"/>
              <a:cs typeface="Aparajita"/>
            </a:rPr>
            <a:t>(P25) es un </a:t>
          </a:r>
          <a:r>
            <a:rPr lang="es-ES" sz="900" b="1" i="0" u="none" strike="noStrike" baseline="0">
              <a:solidFill>
                <a:srgbClr val="000000"/>
              </a:solidFill>
              <a:latin typeface="+mn-lt"/>
              <a:cs typeface="Aparajita"/>
            </a:rPr>
            <a:t>dato que hay que contrastar con </a:t>
          </a:r>
          <a:r>
            <a:rPr lang="es-ES" sz="900" b="0" i="0" u="none" strike="noStrike" baseline="0">
              <a:solidFill>
                <a:srgbClr val="000000"/>
              </a:solidFill>
              <a:latin typeface="+mn-lt"/>
              <a:cs typeface="Aparajita"/>
            </a:rPr>
            <a:t>el que se obtenga en la celda P29, que corresponderá al </a:t>
          </a:r>
          <a:r>
            <a:rPr lang="es-ES" sz="900" b="1" i="0" u="none" strike="noStrike" baseline="0">
              <a:solidFill>
                <a:srgbClr val="000000"/>
              </a:solidFill>
              <a:latin typeface="+mn-lt"/>
              <a:cs typeface="Aparajita"/>
            </a:rPr>
            <a:t>Punto de Equilibrio</a:t>
          </a:r>
          <a:r>
            <a:rPr lang="es-ES" sz="900" b="0" i="0" u="none" strike="noStrike" baseline="0">
              <a:solidFill>
                <a:srgbClr val="000000"/>
              </a:solidFill>
              <a:latin typeface="+mn-lt"/>
              <a:cs typeface="Aparajita"/>
            </a:rPr>
            <a:t>, pero sólo después de que se haya completado, en las siguientes hojas, el resto de gastos de estructura (los de Marketing, RRHH, los de Explotación, las Amortizaciones anuales del Inmovilizado y los Financieros) Una vez se tengan todos esos datos insertados, se volverá a esta </a:t>
          </a:r>
          <a:r>
            <a:rPr lang="es-ES" sz="900" b="1" i="0" u="none" strike="noStrike" baseline="0">
              <a:solidFill>
                <a:srgbClr val="000000"/>
              </a:solidFill>
              <a:latin typeface="+mn-lt"/>
              <a:cs typeface="Aparajita"/>
            </a:rPr>
            <a:t>hoja 2 </a:t>
          </a:r>
          <a:r>
            <a:rPr lang="es-ES" sz="900" b="0" i="0" u="none" strike="noStrike" baseline="0">
              <a:solidFill>
                <a:srgbClr val="000000"/>
              </a:solidFill>
              <a:latin typeface="+mn-lt"/>
              <a:cs typeface="Aparajita"/>
            </a:rPr>
            <a:t>y se contastará el Total Ventas anuales (P25) y el Punto de Equilibrio (P29):</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a) Si P25 es mayor a P29, el Total Ventas anuales previstas será superior a los gastos a cubrir, por lo que el proyecto empresarial, en ese primer ejercicio, tendrá Beneficios.</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b) Si P25 es menor a P29, el Total Ventas anuales previstas será inferior a los gastos a cubrir, por lo que el proyecto empresarial tendrá Pérdidas.</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Si se reflejan un total de Ventas con las que no se alcanza el Punto de Equilibrio, y porlo tanto se obtienen Pérdidas y se quiere conocer cuánto habría que vender (unidades a vender) para alcanzar el Punto de Equilibrio, basta con “jugar” a tantear otras previsiones de ventas (en las celdas verdes de las filas 5, 9,11,13,15,17,19 y/o 21), hasta que el Total Ventas anuales (P25) sea igual, o lo mas cercano posible, al dato que salga en la celda del  Punto de Equilibrio (P29).</a:t>
          </a:r>
        </a:p>
        <a:p>
          <a:pPr algn="l" rtl="0">
            <a:lnSpc>
              <a:spcPct val="100000"/>
            </a:lnSpc>
            <a:spcBef>
              <a:spcPts val="100"/>
            </a:spcBef>
            <a:spcAft>
              <a:spcPts val="100"/>
            </a:spcAft>
            <a:defRPr sz="1000"/>
          </a:pPr>
          <a:endParaRPr lang="es-ES" sz="900">
            <a:solidFill>
              <a:schemeClr val="dk1"/>
            </a:solidFill>
            <a:effectLst/>
            <a:latin typeface="+mn-lt"/>
            <a:ea typeface="+mn-ea"/>
            <a:cs typeface="+mn-cs"/>
            <a:sym typeface="Marlett" pitchFamily="2" charset="2"/>
          </a:endParaRPr>
        </a:p>
        <a:p>
          <a:pPr algn="l" rtl="0">
            <a:lnSpc>
              <a:spcPct val="100000"/>
            </a:lnSpc>
            <a:spcBef>
              <a:spcPts val="100"/>
            </a:spcBef>
            <a:spcAft>
              <a:spcPts val="100"/>
            </a:spcAft>
            <a:defRPr sz="1000"/>
          </a:pPr>
          <a:r>
            <a:rPr lang="es-ES" sz="900">
              <a:solidFill>
                <a:schemeClr val="dk1"/>
              </a:solidFill>
              <a:effectLst/>
              <a:latin typeface="+mn-lt"/>
              <a:ea typeface="+mn-ea"/>
              <a:cs typeface="+mn-cs"/>
              <a:sym typeface="Marlett" pitchFamily="2" charset="2"/>
            </a:rPr>
            <a:t>En</a:t>
          </a:r>
          <a:r>
            <a:rPr lang="es-ES" sz="900" baseline="0">
              <a:solidFill>
                <a:schemeClr val="dk1"/>
              </a:solidFill>
              <a:effectLst/>
              <a:latin typeface="+mn-lt"/>
              <a:ea typeface="+mn-ea"/>
              <a:cs typeface="+mn-cs"/>
              <a:sym typeface="Marlett" pitchFamily="2" charset="2"/>
            </a:rPr>
            <a:t> el segundo cuadro "Plazo de cobro de las ventas", en el que hay que reflejar </a:t>
          </a:r>
          <a:r>
            <a:rPr lang="es-ES" sz="900" b="1" baseline="0">
              <a:solidFill>
                <a:schemeClr val="dk1"/>
              </a:solidFill>
              <a:effectLst/>
              <a:latin typeface="+mn-lt"/>
              <a:ea typeface="+mn-ea"/>
              <a:cs typeface="+mn-cs"/>
              <a:sym typeface="Marlett" pitchFamily="2" charset="2"/>
            </a:rPr>
            <a:t>¿cuándo vamos a cobrarlo?, </a:t>
          </a:r>
          <a:r>
            <a:rPr lang="es-ES" sz="900" baseline="0">
              <a:solidFill>
                <a:schemeClr val="dk1"/>
              </a:solidFill>
              <a:effectLst/>
              <a:latin typeface="+mn-lt"/>
              <a:ea typeface="+mn-ea"/>
              <a:cs typeface="+mn-cs"/>
              <a:sym typeface="Marlett" pitchFamily="2" charset="2"/>
            </a:rPr>
            <a:t>sólo hay que indicar, en las celdas de las filas 41 a 49, en porcentajes, cuáles son los Plazos de Cobro (al contado y a crédito) por las ventas previstas en el cuadro de arriba. </a:t>
          </a:r>
        </a:p>
        <a:p>
          <a:pPr algn="l" rtl="0">
            <a:lnSpc>
              <a:spcPct val="100000"/>
            </a:lnSpc>
            <a:spcBef>
              <a:spcPts val="100"/>
            </a:spcBef>
            <a:spcAft>
              <a:spcPts val="100"/>
            </a:spcAft>
            <a:defRPr sz="1000"/>
          </a:pPr>
          <a:r>
            <a:rPr lang="es-ES" sz="900" baseline="0">
              <a:solidFill>
                <a:schemeClr val="dk1"/>
              </a:solidFill>
              <a:effectLst/>
              <a:latin typeface="+mn-lt"/>
              <a:ea typeface="+mn-ea"/>
              <a:cs typeface="+mn-cs"/>
              <a:sym typeface="Marlett" pitchFamily="2" charset="2"/>
            </a:rPr>
            <a:t>La suma de los % a insertar en estas celdas debe ser de 100%.</a:t>
          </a:r>
        </a:p>
        <a:p>
          <a:pPr algn="l" rtl="0">
            <a:lnSpc>
              <a:spcPct val="100000"/>
            </a:lnSpc>
            <a:spcBef>
              <a:spcPts val="100"/>
            </a:spcBef>
            <a:spcAft>
              <a:spcPts val="100"/>
            </a:spcAft>
            <a:defRPr sz="1000"/>
          </a:pPr>
          <a:r>
            <a:rPr lang="es-ES" sz="900" baseline="0">
              <a:solidFill>
                <a:schemeClr val="dk1"/>
              </a:solidFill>
              <a:effectLst/>
              <a:latin typeface="+mn-lt"/>
              <a:ea typeface="+mn-ea"/>
              <a:cs typeface="+mn-cs"/>
              <a:sym typeface="Marlett" pitchFamily="2" charset="2"/>
            </a:rPr>
            <a:t>Para el segundo ejercicio revisar, y en su caso modificar, los porcentajes precalculados.</a:t>
          </a:r>
        </a:p>
        <a:p>
          <a:pPr algn="l" rtl="0">
            <a:lnSpc>
              <a:spcPct val="150000"/>
            </a:lnSpc>
            <a:spcBef>
              <a:spcPts val="0"/>
            </a:spcBef>
            <a:spcAft>
              <a:spcPts val="100"/>
            </a:spcAft>
            <a:defRPr sz="1000"/>
          </a:pPr>
          <a:endParaRPr lang="es-ES" sz="900" baseline="0">
            <a:solidFill>
              <a:schemeClr val="dk1"/>
            </a:solidFill>
            <a:effectLst/>
            <a:latin typeface="+mn-lt"/>
            <a:ea typeface="+mn-ea"/>
            <a:cs typeface="+mn-cs"/>
            <a:sym typeface="Marlett" pitchFamily="2" charset="2"/>
          </a:endParaRPr>
        </a:p>
        <a:p>
          <a:pPr rtl="0"/>
          <a:r>
            <a:rPr lang="es-ES" sz="900">
              <a:solidFill>
                <a:schemeClr val="dk1"/>
              </a:solidFill>
              <a:effectLst/>
              <a:latin typeface="+mn-lt"/>
              <a:ea typeface="+mn-ea"/>
              <a:cs typeface="+mn-cs"/>
              <a:sym typeface="Marlett" pitchFamily="2" charset="2"/>
            </a:rPr>
            <a:t></a:t>
          </a:r>
          <a:r>
            <a:rPr lang="es-ES" sz="900">
              <a:solidFill>
                <a:schemeClr val="dk1"/>
              </a:solidFill>
              <a:effectLst/>
              <a:latin typeface="+mn-lt"/>
              <a:ea typeface="+mn-ea"/>
              <a:cs typeface="+mn-cs"/>
            </a:rPr>
            <a:t>En</a:t>
          </a:r>
          <a:r>
            <a:rPr lang="es-ES" sz="900" baseline="0">
              <a:solidFill>
                <a:schemeClr val="dk1"/>
              </a:solidFill>
              <a:effectLst/>
              <a:latin typeface="+mn-lt"/>
              <a:ea typeface="+mn-ea"/>
              <a:cs typeface="+mn-cs"/>
            </a:rPr>
            <a:t> el tercer cuadro </a:t>
          </a:r>
          <a:r>
            <a:rPr lang="es-ES" sz="900" b="1" baseline="0">
              <a:solidFill>
                <a:schemeClr val="dk1"/>
              </a:solidFill>
              <a:effectLst/>
              <a:latin typeface="+mn-lt"/>
              <a:ea typeface="+mn-ea"/>
              <a:cs typeface="+mn-cs"/>
            </a:rPr>
            <a:t>¿cómo vamos a cobralo?</a:t>
          </a:r>
          <a:r>
            <a:rPr lang="es-ES" sz="900" b="0" baseline="0">
              <a:solidFill>
                <a:schemeClr val="dk1"/>
              </a:solidFill>
              <a:effectLst/>
              <a:latin typeface="+mn-lt"/>
              <a:ea typeface="+mn-ea"/>
              <a:cs typeface="+mn-cs"/>
            </a:rPr>
            <a:t>, debemos reflejar que % de ventas (celdas fila 80) que vamos a cobrar mediante soporte digital, y, también en %, indicar (celda C79) cual es el coste medio que vamos a soportar por lo que nos cobre la empresa que gestione dicha operación.</a:t>
          </a:r>
        </a:p>
        <a:p>
          <a:pPr rtl="0"/>
          <a:endParaRPr lang="es-ES" sz="900" b="0" baseline="0">
            <a:solidFill>
              <a:schemeClr val="dk1"/>
            </a:solidFill>
            <a:effectLst/>
            <a:latin typeface="+mn-lt"/>
            <a:ea typeface="+mn-ea"/>
            <a:cs typeface="+mn-cs"/>
          </a:endParaRPr>
        </a:p>
        <a:p>
          <a:pPr algn="l" rtl="0">
            <a:lnSpc>
              <a:spcPct val="100000"/>
            </a:lnSpc>
            <a:spcBef>
              <a:spcPts val="100"/>
            </a:spcBef>
            <a:spcAft>
              <a:spcPts val="100"/>
            </a:spcAft>
            <a:defRPr sz="1000"/>
          </a:pPr>
          <a:r>
            <a:rPr lang="es-ES" sz="900">
              <a:solidFill>
                <a:schemeClr val="dk1"/>
              </a:solidFill>
              <a:effectLst/>
              <a:latin typeface="+mn-lt"/>
              <a:ea typeface="+mn-ea"/>
              <a:cs typeface="+mn-cs"/>
              <a:sym typeface="Marlett" pitchFamily="2" charset="2"/>
            </a:rPr>
            <a:t></a:t>
          </a:r>
          <a:r>
            <a:rPr lang="es-ES" sz="900">
              <a:solidFill>
                <a:schemeClr val="dk1"/>
              </a:solidFill>
              <a:effectLst/>
              <a:latin typeface="+mn-lt"/>
              <a:ea typeface="+mn-ea"/>
              <a:cs typeface="+mn-cs"/>
            </a:rPr>
            <a:t>El</a:t>
          </a:r>
          <a:r>
            <a:rPr lang="es-ES" sz="900" baseline="0">
              <a:solidFill>
                <a:schemeClr val="dk1"/>
              </a:solidFill>
              <a:effectLst/>
              <a:latin typeface="+mn-lt"/>
              <a:ea typeface="+mn-ea"/>
              <a:cs typeface="+mn-cs"/>
            </a:rPr>
            <a:t> último cuadro </a:t>
          </a:r>
          <a:r>
            <a:rPr lang="es-ES" sz="900" b="1" baseline="0">
              <a:solidFill>
                <a:schemeClr val="dk1"/>
              </a:solidFill>
              <a:effectLst/>
              <a:latin typeface="+mn-lt"/>
              <a:ea typeface="+mn-ea"/>
              <a:cs typeface="+mn-cs"/>
            </a:rPr>
            <a:t>¿cómo es la estacionalidad de las ventas?</a:t>
          </a:r>
          <a:r>
            <a:rPr lang="es-ES" sz="900" b="0" baseline="0">
              <a:solidFill>
                <a:schemeClr val="dk1"/>
              </a:solidFill>
              <a:effectLst/>
              <a:latin typeface="+mn-lt"/>
              <a:ea typeface="+mn-ea"/>
              <a:cs typeface="+mn-cs"/>
            </a:rPr>
            <a:t>, se obtiene de forma autómática.</a:t>
          </a:r>
          <a:endParaRPr lang="es-ES" sz="900" baseline="0">
            <a:solidFill>
              <a:schemeClr val="dk1"/>
            </a:solidFill>
            <a:effectLst/>
            <a:latin typeface="+mn-lt"/>
            <a:ea typeface="+mn-ea"/>
            <a:cs typeface="+mn-cs"/>
            <a:sym typeface="Marlett" pitchFamily="2" charset="2"/>
          </a:endParaRPr>
        </a:p>
        <a:p>
          <a:pPr rtl="0" eaLnBrk="1" fontAlgn="auto" latinLnBrk="0" hangingPunct="1"/>
          <a:endParaRPr lang="es-ES" sz="1100">
            <a:solidFill>
              <a:schemeClr val="dk1"/>
            </a:solidFill>
            <a:effectLst/>
            <a:latin typeface="+mn-lt"/>
            <a:ea typeface="+mn-ea"/>
            <a:cs typeface="+mn-cs"/>
            <a:sym typeface="Marlett" pitchFamily="2" charset="2"/>
          </a:endParaRPr>
        </a:p>
        <a:p>
          <a:pPr rtl="0" eaLnBrk="1" fontAlgn="auto" latinLnBrk="0" hangingPunct="1"/>
          <a:r>
            <a:rPr lang="es-ES" sz="800">
              <a:solidFill>
                <a:schemeClr val="dk1"/>
              </a:solidFill>
              <a:effectLst/>
              <a:latin typeface="+mn-lt"/>
              <a:ea typeface="+mn-ea"/>
              <a:cs typeface="+mn-cs"/>
              <a:sym typeface="Marlett" pitchFamily="2" charset="2"/>
            </a:rPr>
            <a:t></a:t>
          </a:r>
          <a:r>
            <a:rPr lang="es-ES" sz="800" u="sng">
              <a:solidFill>
                <a:schemeClr val="dk1"/>
              </a:solidFill>
              <a:effectLst/>
              <a:latin typeface="+mn-lt"/>
              <a:ea typeface="+mn-ea"/>
              <a:cs typeface="+mn-cs"/>
            </a:rPr>
            <a:t>ADVERTENCIA</a:t>
          </a:r>
          <a:r>
            <a:rPr lang="es-ES" sz="800">
              <a:solidFill>
                <a:schemeClr val="dk1"/>
              </a:solidFill>
              <a:effectLst/>
              <a:latin typeface="+mn-lt"/>
              <a:ea typeface="+mn-ea"/>
              <a:cs typeface="+mn-cs"/>
              <a:sym typeface="Marlett" pitchFamily="2" charset="2"/>
            </a:rPr>
            <a:t></a:t>
          </a:r>
          <a:endParaRPr lang="es-ES" sz="800">
            <a:effectLst/>
          </a:endParaRPr>
        </a:p>
        <a:p>
          <a:pPr rtl="0"/>
          <a:r>
            <a:rPr lang="es-ES" sz="800" b="0" i="0" baseline="0">
              <a:solidFill>
                <a:schemeClr val="dk1"/>
              </a:solidFill>
              <a:effectLst/>
              <a:latin typeface="+mn-lt"/>
              <a:ea typeface="+mn-ea"/>
              <a:cs typeface="+mn-cs"/>
            </a:rPr>
            <a:t>El Total de IVA Repercutido por las Ventas NO son Ingresos y, por tanto, el importe del IVA de las Ventas no se trasladarán a la </a:t>
          </a:r>
          <a:r>
            <a:rPr lang="es-ES" sz="800" b="1" i="0" baseline="0">
              <a:solidFill>
                <a:schemeClr val="dk1"/>
              </a:solidFill>
              <a:effectLst/>
              <a:latin typeface="+mn-lt"/>
              <a:ea typeface="+mn-ea"/>
              <a:cs typeface="+mn-cs"/>
            </a:rPr>
            <a:t>hoj</a:t>
          </a:r>
          <a:r>
            <a:rPr lang="es-ES" sz="800" b="0" i="0" baseline="0">
              <a:solidFill>
                <a:schemeClr val="dk1"/>
              </a:solidFill>
              <a:effectLst/>
              <a:latin typeface="+mn-lt"/>
              <a:ea typeface="+mn-ea"/>
              <a:cs typeface="+mn-cs"/>
            </a:rPr>
            <a:t>a </a:t>
          </a:r>
          <a:r>
            <a:rPr lang="es-ES" sz="800" b="1" i="0" baseline="0">
              <a:solidFill>
                <a:schemeClr val="dk1"/>
              </a:solidFill>
              <a:effectLst/>
              <a:latin typeface="+mn-lt"/>
              <a:ea typeface="+mn-ea"/>
              <a:cs typeface="+mn-cs"/>
            </a:rPr>
            <a:t>4</a:t>
          </a:r>
          <a:r>
            <a:rPr lang="es-ES" sz="800" b="0" i="0" baseline="0">
              <a:solidFill>
                <a:schemeClr val="dk1"/>
              </a:solidFill>
              <a:effectLst/>
              <a:latin typeface="+mn-lt"/>
              <a:ea typeface="+mn-ea"/>
              <a:cs typeface="+mn-cs"/>
            </a:rPr>
            <a:t>. Pero si afecta a la Tesorería (Disponible) (es por lo que se trasladará a la </a:t>
          </a:r>
          <a:r>
            <a:rPr lang="es-ES" sz="800" b="1" i="0" baseline="0">
              <a:solidFill>
                <a:schemeClr val="dk1"/>
              </a:solidFill>
              <a:effectLst/>
              <a:latin typeface="+mn-lt"/>
              <a:ea typeface="+mn-ea"/>
              <a:cs typeface="+mn-cs"/>
            </a:rPr>
            <a:t>hoja</a:t>
          </a:r>
          <a:r>
            <a:rPr lang="es-ES" sz="800" b="0" i="0" baseline="0">
              <a:solidFill>
                <a:schemeClr val="dk1"/>
              </a:solidFill>
              <a:effectLst/>
              <a:latin typeface="+mn-lt"/>
              <a:ea typeface="+mn-ea"/>
              <a:cs typeface="+mn-cs"/>
            </a:rPr>
            <a:t> </a:t>
          </a:r>
          <a:r>
            <a:rPr lang="es-ES" sz="800" b="1" i="0" baseline="0">
              <a:solidFill>
                <a:schemeClr val="dk1"/>
              </a:solidFill>
              <a:effectLst/>
              <a:latin typeface="+mn-lt"/>
              <a:ea typeface="+mn-ea"/>
              <a:cs typeface="+mn-cs"/>
            </a:rPr>
            <a:t>8</a:t>
          </a:r>
          <a:r>
            <a:rPr lang="es-ES" sz="800" b="0" i="0" baseline="0">
              <a:solidFill>
                <a:schemeClr val="dk1"/>
              </a:solidFill>
              <a:effectLst/>
              <a:latin typeface="+mn-lt"/>
              <a:ea typeface="+mn-ea"/>
              <a:cs typeface="+mn-cs"/>
            </a:rPr>
            <a:t>), al tratarse de cobros que habrá que saldar con los pagos de IVA y que, según esta "Plantilla PF", cada tres meses habrá que Liquidar con Hacienda.</a:t>
          </a:r>
          <a:endParaRPr lang="es-ES" sz="800">
            <a:effectLst/>
          </a:endParaRPr>
        </a:p>
        <a:p>
          <a:pPr algn="l" rtl="0">
            <a:lnSpc>
              <a:spcPts val="800"/>
            </a:lnSpc>
            <a:spcBef>
              <a:spcPts val="100"/>
            </a:spcBef>
            <a:spcAft>
              <a:spcPts val="100"/>
            </a:spcAft>
            <a:defRPr sz="1000"/>
          </a:pPr>
          <a:endParaRPr lang="es-ES" sz="1000">
            <a:latin typeface="+mn-lt"/>
          </a:endParaRPr>
        </a:p>
      </xdr:txBody>
    </xdr:sp>
    <xdr:clientData/>
  </xdr:twoCellAnchor>
  <xdr:twoCellAnchor>
    <xdr:from>
      <xdr:col>0</xdr:col>
      <xdr:colOff>111124</xdr:colOff>
      <xdr:row>138</xdr:row>
      <xdr:rowOff>79375</xdr:rowOff>
    </xdr:from>
    <xdr:to>
      <xdr:col>3</xdr:col>
      <xdr:colOff>206373</xdr:colOff>
      <xdr:row>175</xdr:row>
      <xdr:rowOff>119062</xdr:rowOff>
    </xdr:to>
    <xdr:sp macro="" textlink="">
      <xdr:nvSpPr>
        <xdr:cNvPr id="10" name="CuadroTexto 9">
          <a:extLst>
            <a:ext uri="{FF2B5EF4-FFF2-40B4-BE49-F238E27FC236}">
              <a16:creationId xmlns:a16="http://schemas.microsoft.com/office/drawing/2014/main" id="{00000000-0008-0000-0200-00000A000000}"/>
            </a:ext>
          </a:extLst>
        </xdr:cNvPr>
        <xdr:cNvSpPr txBox="1"/>
      </xdr:nvSpPr>
      <xdr:spPr>
        <a:xfrm>
          <a:off x="111124" y="21986875"/>
          <a:ext cx="7707312" cy="5913437"/>
        </a:xfrm>
        <a:prstGeom prst="rect">
          <a:avLst/>
        </a:prstGeom>
        <a:solidFill>
          <a:srgbClr val="F4D2F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800"/>
            </a:lnSpc>
            <a:spcBef>
              <a:spcPts val="100"/>
            </a:spcBef>
            <a:spcAft>
              <a:spcPts val="100"/>
            </a:spcAft>
            <a:defRPr sz="1000"/>
          </a:pPr>
          <a:r>
            <a:rPr lang="es-ES" sz="900" b="1" i="0" u="none" strike="noStrike" baseline="0">
              <a:solidFill>
                <a:srgbClr val="000000"/>
              </a:solidFill>
              <a:latin typeface="+mn-lt"/>
              <a:cs typeface="Aparajita"/>
            </a:rPr>
            <a:t>3. Costes D.V. y Pagos (Ej 1º, 2º)</a:t>
          </a:r>
          <a:r>
            <a:rPr lang="es-ES" sz="900" b="0" i="0" u="none" strike="noStrike" baseline="0">
              <a:solidFill>
                <a:srgbClr val="000000"/>
              </a:solidFill>
              <a:latin typeface="+mn-lt"/>
              <a:cs typeface="Aparajita"/>
            </a:rPr>
            <a:t> </a:t>
          </a:r>
          <a:r>
            <a:rPr lang="es-ES" sz="900" b="0" i="1" u="none" strike="noStrike" baseline="0">
              <a:solidFill>
                <a:srgbClr val="000000"/>
              </a:solidFill>
              <a:latin typeface="+mn-lt"/>
              <a:cs typeface="Aparajita"/>
            </a:rPr>
            <a:t>(2 páginas)</a:t>
          </a:r>
        </a:p>
        <a:p>
          <a:pPr algn="l" rtl="0">
            <a:lnSpc>
              <a:spcPts val="800"/>
            </a:lnSpc>
            <a:spcBef>
              <a:spcPts val="100"/>
            </a:spcBef>
            <a:spcAft>
              <a:spcPts val="100"/>
            </a:spcAft>
            <a:defRPr sz="1000"/>
          </a:pPr>
          <a:endParaRPr lang="es-ES" sz="900" b="0" i="0" u="none" strike="noStrike" baseline="0">
            <a:solidFill>
              <a:srgbClr val="000000"/>
            </a:solidFill>
            <a:latin typeface="+mn-lt"/>
            <a:cs typeface="Aparajita"/>
          </a:endParaRP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En esta hoja vamos a reflejar los Costes Directos Variables, las Compras de productos a proveedores y/o la Contratación de servicios a terceros, así como la política y forma de Pago, tanto para el 1º  como 2º ejercicios económicos planificados, periodificado por meses.</a:t>
          </a:r>
        </a:p>
        <a:p>
          <a:pPr algn="l" rtl="0">
            <a:lnSpc>
              <a:spcPct val="100000"/>
            </a:lnSpc>
            <a:spcBef>
              <a:spcPts val="100"/>
            </a:spcBef>
            <a:spcAft>
              <a:spcPts val="100"/>
            </a:spcAft>
            <a:defRPr sz="1000"/>
          </a:pPr>
          <a:endParaRPr lang="es-ES" sz="900" b="0" i="0" u="none" strike="noStrike" baseline="0">
            <a:solidFill>
              <a:srgbClr val="000000"/>
            </a:solidFill>
            <a:latin typeface="+mn-lt"/>
            <a:cs typeface="Aparajita"/>
          </a:endParaRPr>
        </a:p>
        <a:p>
          <a:pPr algn="l" rtl="0">
            <a:lnSpc>
              <a:spcPct val="100000"/>
            </a:lnSpc>
            <a:spcBef>
              <a:spcPts val="100"/>
            </a:spcBef>
            <a:spcAft>
              <a:spcPts val="100"/>
            </a:spcAft>
            <a:defRPr sz="1000"/>
          </a:pPr>
          <a:r>
            <a:rPr lang="es-ES" sz="900">
              <a:solidFill>
                <a:schemeClr val="dk1"/>
              </a:solidFill>
              <a:effectLst/>
              <a:latin typeface="+mn-lt"/>
              <a:ea typeface="+mn-ea"/>
              <a:cs typeface="+mn-cs"/>
              <a:sym typeface="Marlett" pitchFamily="2" charset="2"/>
            </a:rPr>
            <a:t>E</a:t>
          </a:r>
          <a:r>
            <a:rPr lang="es-ES" sz="900" baseline="0">
              <a:solidFill>
                <a:schemeClr val="dk1"/>
              </a:solidFill>
              <a:effectLst/>
              <a:latin typeface="+mn-lt"/>
              <a:ea typeface="+mn-ea"/>
              <a:cs typeface="+mn-cs"/>
              <a:sym typeface="Marlett" pitchFamily="2" charset="2"/>
            </a:rPr>
            <a:t>l primer cuadro secalcula de forma automática y en él van a quedar reflejados los "</a:t>
          </a:r>
          <a:r>
            <a:rPr lang="es-ES" sz="900" b="1" baseline="0">
              <a:solidFill>
                <a:schemeClr val="dk1"/>
              </a:solidFill>
              <a:effectLst/>
              <a:latin typeface="+mn-lt"/>
              <a:ea typeface="+mn-ea"/>
              <a:cs typeface="+mn-cs"/>
              <a:sym typeface="Marlett" pitchFamily="2" charset="2"/>
            </a:rPr>
            <a:t>Costes Directos Variables afectos a los productos que vamos a comprar o servicios que vamos a contratar</a:t>
          </a:r>
          <a:r>
            <a:rPr lang="es-ES" sz="900" baseline="0">
              <a:solidFill>
                <a:schemeClr val="dk1"/>
              </a:solidFill>
              <a:effectLst/>
              <a:latin typeface="+mn-lt"/>
              <a:ea typeface="+mn-ea"/>
              <a:cs typeface="+mn-cs"/>
              <a:sym typeface="Marlett" pitchFamily="2" charset="2"/>
            </a:rPr>
            <a:t>". Los datos de este cuadro son consecuencia de multiplicar las "unidades a vender" o "euros a facturar", de cada productos y/o servicio, gama o tipo de ingreso a ofrecer, insertados en el primer cuadro de la hoja 2, por el "coste directo variable" ya insertado en las celdas H24 a H31 de la hoja 1</a:t>
          </a:r>
        </a:p>
        <a:p>
          <a:pPr rtl="0"/>
          <a:r>
            <a:rPr lang="es-ES" sz="1100" b="0" i="0" baseline="0">
              <a:solidFill>
                <a:schemeClr val="dk1"/>
              </a:solidFill>
              <a:effectLst/>
              <a:latin typeface="+mn-lt"/>
              <a:ea typeface="+mn-ea"/>
              <a:cs typeface="+mn-cs"/>
            </a:rPr>
            <a:t> </a:t>
          </a:r>
          <a:endParaRPr lang="es-ES" sz="900">
            <a:effectLst/>
          </a:endParaRPr>
        </a:p>
        <a:p>
          <a:pPr algn="l" rtl="0">
            <a:lnSpc>
              <a:spcPct val="100000"/>
            </a:lnSpc>
            <a:spcBef>
              <a:spcPts val="100"/>
            </a:spcBef>
            <a:spcAft>
              <a:spcPts val="100"/>
            </a:spcAft>
            <a:defRPr sz="1000"/>
          </a:pPr>
          <a:r>
            <a:rPr lang="es-ES" sz="900">
              <a:solidFill>
                <a:schemeClr val="dk1"/>
              </a:solidFill>
              <a:effectLst/>
              <a:latin typeface="+mn-lt"/>
              <a:ea typeface="+mn-ea"/>
              <a:cs typeface="+mn-cs"/>
              <a:sym typeface="Marlett" pitchFamily="2" charset="2"/>
            </a:rPr>
            <a:t>E</a:t>
          </a:r>
          <a:r>
            <a:rPr lang="es-ES" sz="900" baseline="0">
              <a:solidFill>
                <a:schemeClr val="dk1"/>
              </a:solidFill>
              <a:effectLst/>
              <a:latin typeface="+mn-lt"/>
              <a:ea typeface="+mn-ea"/>
              <a:cs typeface="+mn-cs"/>
              <a:sym typeface="Marlett" pitchFamily="2" charset="2"/>
            </a:rPr>
            <a:t>l segundo cuadro "</a:t>
          </a:r>
          <a:r>
            <a:rPr lang="es-ES" sz="900" b="1" baseline="0">
              <a:solidFill>
                <a:schemeClr val="dk1"/>
              </a:solidFill>
              <a:effectLst/>
              <a:latin typeface="+mn-lt"/>
              <a:ea typeface="+mn-ea"/>
              <a:cs typeface="+mn-cs"/>
              <a:sym typeface="Marlett" pitchFamily="2" charset="2"/>
            </a:rPr>
            <a:t>Plan de compras</a:t>
          </a:r>
          <a:r>
            <a:rPr lang="es-ES" sz="900" baseline="0">
              <a:solidFill>
                <a:schemeClr val="dk1"/>
              </a:solidFill>
              <a:effectLst/>
              <a:latin typeface="+mn-lt"/>
              <a:ea typeface="+mn-ea"/>
              <a:cs typeface="+mn-cs"/>
              <a:sym typeface="Marlett" pitchFamily="2" charset="2"/>
            </a:rPr>
            <a:t>", se puede dejar como está o modificar importes. Para hacer una cosa u otra hay que tener en cuenta lo siguiente: </a:t>
          </a:r>
        </a:p>
        <a:p>
          <a:pPr algn="l" rtl="0">
            <a:lnSpc>
              <a:spcPct val="100000"/>
            </a:lnSpc>
            <a:spcBef>
              <a:spcPts val="0"/>
            </a:spcBef>
            <a:spcAft>
              <a:spcPts val="0"/>
            </a:spcAft>
            <a:defRPr sz="1000"/>
          </a:pPr>
          <a:r>
            <a:rPr lang="es-ES" sz="1100" b="0" i="0" baseline="0">
              <a:solidFill>
                <a:schemeClr val="dk1"/>
              </a:solidFill>
              <a:effectLst/>
              <a:latin typeface="+mn-lt"/>
              <a:ea typeface="+mn-ea"/>
              <a:cs typeface="+mn-cs"/>
            </a:rPr>
            <a:t> </a:t>
          </a:r>
          <a:endParaRPr lang="es-ES" sz="900">
            <a:effectLst/>
          </a:endParaRPr>
        </a:p>
        <a:p>
          <a:pPr rtl="0"/>
          <a:r>
            <a:rPr lang="es-ES" sz="900" b="0" i="0" baseline="0">
              <a:solidFill>
                <a:schemeClr val="dk1"/>
              </a:solidFill>
              <a:effectLst/>
              <a:latin typeface="+mn-lt"/>
              <a:ea typeface="+mn-ea"/>
              <a:cs typeface="+mn-cs"/>
            </a:rPr>
            <a:t>. Si el tipo de empresa sobre el que se desarrolla el proyecto requiere realizar compras de materias primas para transformar y vender, y/o productos para vender sin transformar, y/o subcontratar servicios, según se vayan consumiendo las existencias o servicios, en este caso no se deben modificar los importes de las celdas D a O de esta fila 25, ya que el programa considera que las compras de productos y/o servicios se realizarán por reposición (si se aplica esta suposición, coinicidirán los importes de los Costes Directos Variables (celdas fila 16) con las Compras del Periodo (celdas fila 25)).</a:t>
          </a:r>
          <a:endParaRPr lang="es-ES" sz="900">
            <a:effectLst/>
          </a:endParaRPr>
        </a:p>
        <a:p>
          <a:pPr rtl="0"/>
          <a:r>
            <a:rPr lang="es-ES" sz="900" b="0" i="0" baseline="0">
              <a:solidFill>
                <a:schemeClr val="dk1"/>
              </a:solidFill>
              <a:effectLst/>
              <a:latin typeface="+mn-lt"/>
              <a:ea typeface="+mn-ea"/>
              <a:cs typeface="+mn-cs"/>
            </a:rPr>
            <a:t> </a:t>
          </a:r>
          <a:endParaRPr lang="es-ES" sz="900">
            <a:effectLst/>
          </a:endParaRPr>
        </a:p>
        <a:p>
          <a:pPr rtl="0"/>
          <a:r>
            <a:rPr lang="es-ES" sz="900" b="0" i="0" baseline="0">
              <a:solidFill>
                <a:schemeClr val="dk1"/>
              </a:solidFill>
              <a:effectLst/>
              <a:latin typeface="+mn-lt"/>
              <a:ea typeface="+mn-ea"/>
              <a:cs typeface="+mn-cs"/>
            </a:rPr>
            <a:t>. Si las compras de materias primas y/o productos y/o servicios no se van a reponer conforme se vayan consumiendo, sino que se repondrán en momentos puntuales (meses) del ejercicio económico (por ventas temporales o especulativas), habrá que colocarse sobre la celda del mes, o meses, en que se prevea realizar dichas compras (celdas D a O, fila 25) y modificar el importe en euros que aparece reflejado según la estimación de compra.</a:t>
          </a:r>
          <a:endParaRPr lang="es-ES" sz="900">
            <a:effectLst/>
          </a:endParaRPr>
        </a:p>
        <a:p>
          <a:pPr rtl="0"/>
          <a:r>
            <a:rPr lang="es-ES" sz="900" b="0" i="0" baseline="0">
              <a:solidFill>
                <a:schemeClr val="dk1"/>
              </a:solidFill>
              <a:effectLst/>
              <a:latin typeface="+mn-lt"/>
              <a:ea typeface="+mn-ea"/>
              <a:cs typeface="+mn-cs"/>
            </a:rPr>
            <a:t> </a:t>
          </a:r>
          <a:endParaRPr lang="es-ES" sz="900">
            <a:effectLst/>
          </a:endParaRPr>
        </a:p>
        <a:p>
          <a:pPr rtl="0"/>
          <a:r>
            <a:rPr lang="es-ES" sz="900" b="0" i="0" baseline="0">
              <a:solidFill>
                <a:schemeClr val="dk1"/>
              </a:solidFill>
              <a:effectLst/>
              <a:latin typeface="+mn-lt"/>
              <a:ea typeface="+mn-ea"/>
              <a:cs typeface="+mn-cs"/>
            </a:rPr>
            <a:t>En este caso hay que tener en cuenta que la suma Total de Compras del Periodo (celda P25) no puede ser menor al importe del Total Costes Directos Variables (celda P16), ya que la empresa no puede consumir lo que no ha comprado. Si fuese menor P25 que P16 en la celda R27 aparecerá un número rojo (correspondiendo al importe de Compras necesarias a realizar e introducir en las celdas D a O de la fila 25, para que este proyecto de empresa tenga suficiente stock de materias primas, y/o prodcutos, y/o servicios contratados, y así cubrir las previsiones de venta reflejadas en el primer cuadro de la hoja 2).</a:t>
          </a:r>
          <a:endParaRPr lang="es-ES" sz="900">
            <a:effectLst/>
          </a:endParaRPr>
        </a:p>
        <a:p>
          <a:pPr algn="l" rtl="0">
            <a:lnSpc>
              <a:spcPct val="150000"/>
            </a:lnSpc>
            <a:spcBef>
              <a:spcPts val="0"/>
            </a:spcBef>
            <a:spcAft>
              <a:spcPts val="100"/>
            </a:spcAft>
            <a:defRPr sz="1000"/>
          </a:pPr>
          <a:endParaRPr lang="es-ES" sz="800" baseline="0">
            <a:solidFill>
              <a:schemeClr val="dk1"/>
            </a:solidFill>
            <a:effectLst/>
            <a:latin typeface="+mn-lt"/>
            <a:ea typeface="+mn-ea"/>
            <a:cs typeface="+mn-cs"/>
            <a:sym typeface="Marlett" pitchFamily="2" charset="2"/>
          </a:endParaRPr>
        </a:p>
        <a:p>
          <a:pPr rtl="0"/>
          <a:r>
            <a:rPr lang="es-ES" sz="900">
              <a:solidFill>
                <a:schemeClr val="dk1"/>
              </a:solidFill>
              <a:effectLst/>
              <a:latin typeface="+mn-lt"/>
              <a:ea typeface="+mn-ea"/>
              <a:cs typeface="+mn-cs"/>
              <a:sym typeface="Marlett" pitchFamily="2" charset="2"/>
            </a:rPr>
            <a:t></a:t>
          </a:r>
          <a:r>
            <a:rPr lang="es-ES" sz="900">
              <a:solidFill>
                <a:schemeClr val="dk1"/>
              </a:solidFill>
              <a:effectLst/>
              <a:latin typeface="+mn-lt"/>
              <a:ea typeface="+mn-ea"/>
              <a:cs typeface="+mn-cs"/>
            </a:rPr>
            <a:t>En</a:t>
          </a:r>
          <a:r>
            <a:rPr lang="es-ES" sz="900" baseline="0">
              <a:solidFill>
                <a:schemeClr val="dk1"/>
              </a:solidFill>
              <a:effectLst/>
              <a:latin typeface="+mn-lt"/>
              <a:ea typeface="+mn-ea"/>
              <a:cs typeface="+mn-cs"/>
            </a:rPr>
            <a:t> el tercer cuadro titulado </a:t>
          </a:r>
          <a:r>
            <a:rPr lang="es-ES" sz="900" b="1" baseline="0">
              <a:solidFill>
                <a:schemeClr val="dk1"/>
              </a:solidFill>
              <a:effectLst/>
              <a:latin typeface="+mn-lt"/>
              <a:ea typeface="+mn-ea"/>
              <a:cs typeface="+mn-cs"/>
            </a:rPr>
            <a:t>¿qué otros costes directos variables vamos a soportar?</a:t>
          </a:r>
          <a:r>
            <a:rPr lang="es-ES" sz="900" b="0" baseline="0">
              <a:solidFill>
                <a:schemeClr val="dk1"/>
              </a:solidFill>
              <a:effectLst/>
              <a:latin typeface="+mn-lt"/>
              <a:ea typeface="+mn-ea"/>
              <a:cs typeface="+mn-cs"/>
            </a:rPr>
            <a:t>, se reflejarán, escribendo un porcentaje sobre el total de ventas en la celda C36, aquellos otros costes vincualdos a las ventas que se estimen soportar, como por ejemplo: los portes + embalaje pagados por la entregas del producto/servicio en el domicilio de los clientes,  las comisiones a vendedores si se les paga un variable por venta realizada, etc. </a:t>
          </a:r>
        </a:p>
        <a:p>
          <a:pPr rtl="0"/>
          <a:endParaRPr lang="es-ES" sz="900" b="0" baseline="0">
            <a:solidFill>
              <a:schemeClr val="dk1"/>
            </a:solidFill>
            <a:effectLst/>
            <a:latin typeface="+mn-lt"/>
            <a:ea typeface="+mn-ea"/>
            <a:cs typeface="+mn-cs"/>
          </a:endParaRPr>
        </a:p>
        <a:p>
          <a:pPr rtl="0"/>
          <a:r>
            <a:rPr lang="es-ES" sz="900">
              <a:solidFill>
                <a:schemeClr val="dk1"/>
              </a:solidFill>
              <a:effectLst/>
              <a:latin typeface="+mn-lt"/>
              <a:ea typeface="+mn-ea"/>
              <a:cs typeface="+mn-cs"/>
              <a:sym typeface="Marlett" pitchFamily="2" charset="2"/>
            </a:rPr>
            <a:t></a:t>
          </a:r>
          <a:r>
            <a:rPr lang="es-ES" sz="900">
              <a:solidFill>
                <a:schemeClr val="dk1"/>
              </a:solidFill>
              <a:effectLst/>
              <a:latin typeface="+mn-lt"/>
              <a:ea typeface="+mn-ea"/>
              <a:cs typeface="+mn-cs"/>
            </a:rPr>
            <a:t>E</a:t>
          </a:r>
          <a:r>
            <a:rPr lang="es-ES" sz="900" baseline="0">
              <a:solidFill>
                <a:schemeClr val="dk1"/>
              </a:solidFill>
              <a:effectLst/>
              <a:latin typeface="+mn-lt"/>
              <a:ea typeface="+mn-ea"/>
              <a:cs typeface="+mn-cs"/>
            </a:rPr>
            <a:t>n el cuarto cuadro, </a:t>
          </a:r>
          <a:r>
            <a:rPr lang="es-ES" sz="900" b="1" baseline="0">
              <a:solidFill>
                <a:schemeClr val="dk1"/>
              </a:solidFill>
              <a:effectLst/>
              <a:latin typeface="+mn-lt"/>
              <a:ea typeface="+mn-ea"/>
              <a:cs typeface="+mn-cs"/>
            </a:rPr>
            <a:t>¿cuándo vamos a pagarlo?</a:t>
          </a:r>
          <a:r>
            <a:rPr lang="es-ES" sz="900" b="0" baseline="0">
              <a:solidFill>
                <a:schemeClr val="dk1"/>
              </a:solidFill>
              <a:effectLst/>
              <a:latin typeface="+mn-lt"/>
              <a:ea typeface="+mn-ea"/>
              <a:cs typeface="+mn-cs"/>
            </a:rPr>
            <a:t>, hay que indicar, en el intervalo de las celdas H53 a H61, el/los porcentaje/s que correponden a los Plazos de Pago por Compra de productos, materias primas o contratación de servicios variables. Plazos de Pago que pueden ser al contado o a crédito (ejemplo: si el 50% de las compras a proveedores se pagan al contado y el resto a 60 días, en la celda H53 se escribiría 50% y en la celda H56 otro 50%).</a:t>
          </a:r>
        </a:p>
        <a:p>
          <a:pPr rtl="0"/>
          <a:r>
            <a:rPr lang="es-ES" sz="900" b="0" baseline="0">
              <a:solidFill>
                <a:schemeClr val="dk1"/>
              </a:solidFill>
              <a:effectLst/>
              <a:latin typeface="+mn-lt"/>
              <a:ea typeface="+mn-ea"/>
              <a:cs typeface="+mn-cs"/>
            </a:rPr>
            <a:t>La suma de los porcentajes a insertar en estas celdas, debe ser 100%.</a:t>
          </a:r>
        </a:p>
        <a:p>
          <a:pPr rtl="0"/>
          <a:r>
            <a:rPr lang="es-ES" sz="900" b="0" baseline="0">
              <a:solidFill>
                <a:schemeClr val="dk1"/>
              </a:solidFill>
              <a:effectLst/>
              <a:latin typeface="+mn-lt"/>
              <a:ea typeface="+mn-ea"/>
              <a:cs typeface="+mn-cs"/>
            </a:rPr>
            <a:t>Para el segundo ejercicio revisar, y en su caso modificar, los porcentajes precalculados.</a:t>
          </a:r>
        </a:p>
        <a:p>
          <a:pPr rtl="0"/>
          <a:endParaRPr lang="es-ES" sz="900" b="0" baseline="0">
            <a:solidFill>
              <a:schemeClr val="dk1"/>
            </a:solidFill>
            <a:effectLst/>
            <a:latin typeface="+mn-lt"/>
            <a:ea typeface="+mn-ea"/>
            <a:cs typeface="+mn-cs"/>
          </a:endParaRPr>
        </a:p>
        <a:p>
          <a:pPr rtl="0" eaLnBrk="1" fontAlgn="auto" latinLnBrk="0" hangingPunct="1"/>
          <a:r>
            <a:rPr lang="es-ES" sz="800">
              <a:solidFill>
                <a:schemeClr val="dk1"/>
              </a:solidFill>
              <a:effectLst/>
              <a:latin typeface="+mn-lt"/>
              <a:ea typeface="+mn-ea"/>
              <a:cs typeface="+mn-cs"/>
              <a:sym typeface="Marlett" pitchFamily="2" charset="2"/>
            </a:rPr>
            <a:t></a:t>
          </a:r>
          <a:r>
            <a:rPr lang="es-ES" sz="800" u="sng">
              <a:solidFill>
                <a:schemeClr val="dk1"/>
              </a:solidFill>
              <a:effectLst/>
              <a:latin typeface="+mn-lt"/>
              <a:ea typeface="+mn-ea"/>
              <a:cs typeface="+mn-cs"/>
            </a:rPr>
            <a:t>ADVERTENCIA</a:t>
          </a:r>
          <a:r>
            <a:rPr lang="es-ES" sz="800">
              <a:solidFill>
                <a:schemeClr val="dk1"/>
              </a:solidFill>
              <a:effectLst/>
              <a:latin typeface="+mn-lt"/>
              <a:ea typeface="+mn-ea"/>
              <a:cs typeface="+mn-cs"/>
              <a:sym typeface="Marlett" pitchFamily="2" charset="2"/>
            </a:rPr>
            <a:t></a:t>
          </a:r>
          <a:endParaRPr lang="es-ES" sz="800">
            <a:effectLst/>
          </a:endParaRPr>
        </a:p>
        <a:p>
          <a:pPr rtl="0"/>
          <a:r>
            <a:rPr lang="es-ES" sz="800" b="0" i="0" baseline="0">
              <a:solidFill>
                <a:schemeClr val="dk1"/>
              </a:solidFill>
              <a:effectLst/>
              <a:latin typeface="+mn-lt"/>
              <a:ea typeface="+mn-ea"/>
              <a:cs typeface="+mn-cs"/>
            </a:rPr>
            <a:t>El Total de IVA Soportado por las Compras NO son Gastos y, por tanto, el importe del IVA de las Compras no se trasladarán a la </a:t>
          </a:r>
          <a:r>
            <a:rPr lang="es-ES" sz="800" b="1" i="0" baseline="0">
              <a:solidFill>
                <a:schemeClr val="dk1"/>
              </a:solidFill>
              <a:effectLst/>
              <a:latin typeface="+mn-lt"/>
              <a:ea typeface="+mn-ea"/>
              <a:cs typeface="+mn-cs"/>
            </a:rPr>
            <a:t>hoj</a:t>
          </a:r>
          <a:r>
            <a:rPr lang="es-ES" sz="800" b="0" i="0" baseline="0">
              <a:solidFill>
                <a:schemeClr val="dk1"/>
              </a:solidFill>
              <a:effectLst/>
              <a:latin typeface="+mn-lt"/>
              <a:ea typeface="+mn-ea"/>
              <a:cs typeface="+mn-cs"/>
            </a:rPr>
            <a:t>a </a:t>
          </a:r>
          <a:r>
            <a:rPr lang="es-ES" sz="800" b="1" i="0" baseline="0">
              <a:solidFill>
                <a:schemeClr val="dk1"/>
              </a:solidFill>
              <a:effectLst/>
              <a:latin typeface="+mn-lt"/>
              <a:ea typeface="+mn-ea"/>
              <a:cs typeface="+mn-cs"/>
            </a:rPr>
            <a:t>4</a:t>
          </a:r>
          <a:r>
            <a:rPr lang="es-ES" sz="800" b="0" i="0" baseline="0">
              <a:solidFill>
                <a:schemeClr val="dk1"/>
              </a:solidFill>
              <a:effectLst/>
              <a:latin typeface="+mn-lt"/>
              <a:ea typeface="+mn-ea"/>
              <a:cs typeface="+mn-cs"/>
            </a:rPr>
            <a:t>. Pero si afecta a la Tesorería (Disponible) y, por lo tanto, se trasladará a la </a:t>
          </a:r>
          <a:r>
            <a:rPr lang="es-ES" sz="800" b="1" i="0" baseline="0">
              <a:solidFill>
                <a:schemeClr val="dk1"/>
              </a:solidFill>
              <a:effectLst/>
              <a:latin typeface="+mn-lt"/>
              <a:ea typeface="+mn-ea"/>
              <a:cs typeface="+mn-cs"/>
            </a:rPr>
            <a:t>hoja</a:t>
          </a:r>
          <a:r>
            <a:rPr lang="es-ES" sz="800" b="0" i="0" baseline="0">
              <a:solidFill>
                <a:schemeClr val="dk1"/>
              </a:solidFill>
              <a:effectLst/>
              <a:latin typeface="+mn-lt"/>
              <a:ea typeface="+mn-ea"/>
              <a:cs typeface="+mn-cs"/>
            </a:rPr>
            <a:t> </a:t>
          </a:r>
          <a:r>
            <a:rPr lang="es-ES" sz="800" b="1" i="0" baseline="0">
              <a:solidFill>
                <a:schemeClr val="dk1"/>
              </a:solidFill>
              <a:effectLst/>
              <a:latin typeface="+mn-lt"/>
              <a:ea typeface="+mn-ea"/>
              <a:cs typeface="+mn-cs"/>
            </a:rPr>
            <a:t>8</a:t>
          </a:r>
          <a:r>
            <a:rPr lang="es-ES" sz="800" b="0" i="0" baseline="0">
              <a:solidFill>
                <a:schemeClr val="dk1"/>
              </a:solidFill>
              <a:effectLst/>
              <a:latin typeface="+mn-lt"/>
              <a:ea typeface="+mn-ea"/>
              <a:cs typeface="+mn-cs"/>
            </a:rPr>
            <a:t>, al tratarse de pagos que habrá que saldar con los cobros por ventas de IVA y que, según esta "Plantilla PF", cada tres meses habrá que Liquidar con Hacienda.</a:t>
          </a:r>
          <a:endParaRPr lang="es-ES" sz="800">
            <a:effectLst/>
          </a:endParaRPr>
        </a:p>
        <a:p>
          <a:pPr rtl="0"/>
          <a:endParaRPr lang="es-ES" sz="900" b="0" baseline="0">
            <a:solidFill>
              <a:schemeClr val="dk1"/>
            </a:solidFill>
            <a:effectLst/>
            <a:latin typeface="+mn-lt"/>
            <a:ea typeface="+mn-ea"/>
            <a:cs typeface="+mn-cs"/>
          </a:endParaRPr>
        </a:p>
      </xdr:txBody>
    </xdr:sp>
    <xdr:clientData/>
  </xdr:twoCellAnchor>
  <xdr:twoCellAnchor>
    <xdr:from>
      <xdr:col>0</xdr:col>
      <xdr:colOff>119063</xdr:colOff>
      <xdr:row>176</xdr:row>
      <xdr:rowOff>103189</xdr:rowOff>
    </xdr:from>
    <xdr:to>
      <xdr:col>3</xdr:col>
      <xdr:colOff>230188</xdr:colOff>
      <xdr:row>192</xdr:row>
      <xdr:rowOff>111124</xdr:rowOff>
    </xdr:to>
    <xdr:sp macro="" textlink="">
      <xdr:nvSpPr>
        <xdr:cNvPr id="12" name="CuadroTexto 11">
          <a:extLst>
            <a:ext uri="{FF2B5EF4-FFF2-40B4-BE49-F238E27FC236}">
              <a16:creationId xmlns:a16="http://schemas.microsoft.com/office/drawing/2014/main" id="{00000000-0008-0000-0200-00000C000000}"/>
            </a:ext>
          </a:extLst>
        </xdr:cNvPr>
        <xdr:cNvSpPr txBox="1"/>
      </xdr:nvSpPr>
      <xdr:spPr>
        <a:xfrm>
          <a:off x="119063" y="28043189"/>
          <a:ext cx="7723188" cy="2547935"/>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800"/>
            </a:lnSpc>
            <a:spcBef>
              <a:spcPts val="100"/>
            </a:spcBef>
            <a:spcAft>
              <a:spcPts val="100"/>
            </a:spcAft>
            <a:defRPr sz="1000"/>
          </a:pPr>
          <a:r>
            <a:rPr lang="es-ES" sz="900" b="1" i="0" u="none" strike="noStrike" baseline="0">
              <a:solidFill>
                <a:srgbClr val="000000"/>
              </a:solidFill>
              <a:latin typeface="+mn-lt"/>
              <a:cs typeface="Aparajita"/>
            </a:rPr>
            <a:t>4. Costes Mk y Métricas (Ej 1º, 2º)</a:t>
          </a:r>
          <a:r>
            <a:rPr lang="es-ES" sz="900" b="0" i="0" u="none" strike="noStrike" baseline="0">
              <a:solidFill>
                <a:srgbClr val="000000"/>
              </a:solidFill>
              <a:latin typeface="+mn-lt"/>
              <a:cs typeface="Aparajita"/>
            </a:rPr>
            <a:t> </a:t>
          </a:r>
          <a:r>
            <a:rPr lang="es-ES" sz="900" b="0" i="1" u="none" strike="noStrike" baseline="0">
              <a:solidFill>
                <a:srgbClr val="000000"/>
              </a:solidFill>
              <a:latin typeface="+mn-lt"/>
              <a:cs typeface="Aparajita"/>
            </a:rPr>
            <a:t>(2 páginas)</a:t>
          </a:r>
        </a:p>
        <a:p>
          <a:pPr algn="l" rtl="0">
            <a:lnSpc>
              <a:spcPts val="800"/>
            </a:lnSpc>
            <a:spcBef>
              <a:spcPts val="100"/>
            </a:spcBef>
            <a:spcAft>
              <a:spcPts val="100"/>
            </a:spcAft>
            <a:defRPr sz="1000"/>
          </a:pPr>
          <a:endParaRPr lang="es-ES" sz="900" b="0" i="0" u="none" strike="noStrike" baseline="0">
            <a:solidFill>
              <a:srgbClr val="000000"/>
            </a:solidFill>
            <a:latin typeface="+mn-lt"/>
            <a:cs typeface="Aparajita"/>
          </a:endParaRPr>
        </a:p>
        <a:p>
          <a:pPr algn="l" rtl="0">
            <a:lnSpc>
              <a:spcPct val="100000"/>
            </a:lnSpc>
            <a:spcBef>
              <a:spcPts val="100"/>
            </a:spcBef>
            <a:spcAft>
              <a:spcPts val="100"/>
            </a:spcAft>
            <a:defRPr sz="1000"/>
          </a:pPr>
          <a:r>
            <a:rPr lang="es-ES" sz="900">
              <a:solidFill>
                <a:schemeClr val="dk1"/>
              </a:solidFill>
              <a:effectLst/>
              <a:latin typeface="+mn-lt"/>
              <a:ea typeface="+mn-ea"/>
              <a:cs typeface="+mn-cs"/>
              <a:sym typeface="Marlett" pitchFamily="2" charset="2"/>
            </a:rPr>
            <a:t></a:t>
          </a:r>
          <a:r>
            <a:rPr lang="es-ES" sz="900" b="0" i="0" u="none" strike="noStrike" baseline="0">
              <a:solidFill>
                <a:srgbClr val="000000"/>
              </a:solidFill>
              <a:latin typeface="+mn-lt"/>
              <a:cs typeface="Aparajita"/>
            </a:rPr>
            <a:t>Los </a:t>
          </a:r>
          <a:r>
            <a:rPr lang="es-ES" sz="900" b="1" i="0" u="none" strike="noStrike" baseline="0">
              <a:solidFill>
                <a:srgbClr val="000000"/>
              </a:solidFill>
              <a:latin typeface="+mn-lt"/>
              <a:cs typeface="Aparajita"/>
            </a:rPr>
            <a:t>gastos de marketing on y off </a:t>
          </a:r>
          <a:r>
            <a:rPr lang="es-ES" sz="900" b="0" i="0" u="none" strike="noStrike" baseline="0">
              <a:solidFill>
                <a:srgbClr val="000000"/>
              </a:solidFill>
              <a:latin typeface="+mn-lt"/>
              <a:cs typeface="Aparajita"/>
            </a:rPr>
            <a:t>deben reflejarse en el primer cuadro de esta hoja, pudiéndolo hacer de dos maneras:</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Estimando un porcentaje sobre la facturación, en cuyo caso hay que escribir en las celdas C7 y/o C8 dicho porcenaje. </a:t>
          </a:r>
        </a:p>
        <a:p>
          <a:pPr algn="l" rtl="0">
            <a:lnSpc>
              <a:spcPct val="100000"/>
            </a:lnSpc>
            <a:spcBef>
              <a:spcPts val="100"/>
            </a:spcBef>
            <a:spcAft>
              <a:spcPts val="100"/>
            </a:spcAft>
            <a:defRPr sz="1000"/>
          </a:pPr>
          <a:r>
            <a:rPr lang="es-ES" sz="900" b="0" i="0" u="none" strike="noStrike" baseline="0">
              <a:solidFill>
                <a:srgbClr val="000000"/>
              </a:solidFill>
              <a:latin typeface="+mn-lt"/>
              <a:cs typeface="Aparajita"/>
            </a:rPr>
            <a:t>. Estableciendo cantidades concretas cada mes, o en determinados meses,  para lo cual hay que escribir los mismos (sin IVA) en las celdas de la fila 9.</a:t>
          </a:r>
        </a:p>
        <a:p>
          <a:pPr algn="l" rtl="0">
            <a:lnSpc>
              <a:spcPct val="100000"/>
            </a:lnSpc>
            <a:spcBef>
              <a:spcPts val="100"/>
            </a:spcBef>
            <a:spcAft>
              <a:spcPts val="100"/>
            </a:spcAft>
            <a:defRPr sz="1000"/>
          </a:pPr>
          <a:endParaRPr lang="es-ES" sz="900" b="0" i="0" u="none" strike="noStrike" baseline="0">
            <a:solidFill>
              <a:srgbClr val="000000"/>
            </a:solidFill>
            <a:latin typeface="+mn-lt"/>
            <a:cs typeface="Aparajita"/>
          </a:endParaRPr>
        </a:p>
        <a:p>
          <a:pPr algn="l" rtl="0">
            <a:lnSpc>
              <a:spcPct val="100000"/>
            </a:lnSpc>
            <a:spcBef>
              <a:spcPts val="0"/>
            </a:spcBef>
            <a:spcAft>
              <a:spcPts val="0"/>
            </a:spcAft>
            <a:defRPr sz="1000"/>
          </a:pPr>
          <a:r>
            <a:rPr lang="es-ES" sz="900">
              <a:solidFill>
                <a:schemeClr val="dk1"/>
              </a:solidFill>
              <a:effectLst/>
              <a:latin typeface="+mn-lt"/>
              <a:ea typeface="+mn-ea"/>
              <a:cs typeface="+mn-cs"/>
              <a:sym typeface="Marlett" pitchFamily="2" charset="2"/>
            </a:rPr>
            <a:t></a:t>
          </a:r>
          <a:r>
            <a:rPr lang="es-ES" sz="900" b="0" i="0" baseline="0">
              <a:solidFill>
                <a:schemeClr val="dk1"/>
              </a:solidFill>
              <a:effectLst/>
              <a:latin typeface="+mn-lt"/>
              <a:ea typeface="+mn-ea"/>
              <a:cs typeface="+mn-cs"/>
              <a:sym typeface="Marlett" pitchFamily="2" charset="2"/>
            </a:rPr>
            <a:t>Si se estima el "Número de Nuevos Clientes del Mes", el "Número de veces que un Cliente nos compará al año (RA)" y  el "Número de Años en que tendrá relación con nuestra empresa", se pueden calcular las métricas que se reflejan en los apartados siguientes:</a:t>
          </a:r>
        </a:p>
        <a:p>
          <a:pPr algn="l" rtl="0">
            <a:lnSpc>
              <a:spcPts val="800"/>
            </a:lnSpc>
            <a:spcBef>
              <a:spcPts val="100"/>
            </a:spcBef>
            <a:spcAft>
              <a:spcPts val="100"/>
            </a:spcAft>
            <a:defRPr sz="1000"/>
          </a:pPr>
          <a:endParaRPr lang="es-ES" sz="900" b="0" i="0" u="none" strike="noStrike" baseline="0">
            <a:solidFill>
              <a:schemeClr val="dk1"/>
            </a:solidFill>
            <a:effectLst/>
            <a:latin typeface="+mn-lt"/>
            <a:ea typeface="+mn-ea"/>
            <a:cs typeface="+mn-cs"/>
            <a:sym typeface="Marlett" pitchFamily="2" charset="2"/>
          </a:endParaRPr>
        </a:p>
        <a:p>
          <a:pPr algn="l" rtl="0">
            <a:lnSpc>
              <a:spcPts val="800"/>
            </a:lnSpc>
            <a:spcBef>
              <a:spcPts val="100"/>
            </a:spcBef>
            <a:spcAft>
              <a:spcPts val="100"/>
            </a:spcAft>
            <a:defRPr sz="1000"/>
          </a:pPr>
          <a:r>
            <a:rPr lang="es-ES" sz="900" b="0" i="0" u="none" strike="noStrike" baseline="0">
              <a:solidFill>
                <a:schemeClr val="dk1"/>
              </a:solidFill>
              <a:effectLst/>
              <a:latin typeface="+mn-lt"/>
              <a:ea typeface="+mn-ea"/>
              <a:cs typeface="+mn-cs"/>
              <a:sym typeface="Marlett" pitchFamily="2" charset="2"/>
            </a:rPr>
            <a:t>. CAC - Coste de Adquisición por Cliente</a:t>
          </a:r>
        </a:p>
        <a:p>
          <a:pPr algn="l" rtl="0">
            <a:lnSpc>
              <a:spcPts val="800"/>
            </a:lnSpc>
            <a:spcBef>
              <a:spcPts val="100"/>
            </a:spcBef>
            <a:spcAft>
              <a:spcPts val="100"/>
            </a:spcAft>
            <a:defRPr sz="1000"/>
          </a:pPr>
          <a:endParaRPr lang="es-ES" sz="900" b="0" i="0" u="none" strike="noStrike" baseline="0">
            <a:solidFill>
              <a:schemeClr val="dk1"/>
            </a:solidFill>
            <a:effectLst/>
            <a:latin typeface="+mn-lt"/>
            <a:ea typeface="+mn-ea"/>
            <a:cs typeface="+mn-cs"/>
            <a:sym typeface="Marlett" pitchFamily="2" charset="2"/>
          </a:endParaRPr>
        </a:p>
        <a:p>
          <a:pPr algn="l" rtl="0">
            <a:lnSpc>
              <a:spcPts val="800"/>
            </a:lnSpc>
            <a:spcBef>
              <a:spcPts val="100"/>
            </a:spcBef>
            <a:spcAft>
              <a:spcPts val="100"/>
            </a:spcAft>
            <a:defRPr sz="1000"/>
          </a:pPr>
          <a:r>
            <a:rPr lang="es-ES" sz="900" b="0" i="0" u="none" strike="noStrike" baseline="0">
              <a:solidFill>
                <a:schemeClr val="dk1"/>
              </a:solidFill>
              <a:effectLst/>
              <a:latin typeface="+mn-lt"/>
              <a:ea typeface="+mn-ea"/>
              <a:cs typeface="+mn-cs"/>
              <a:sym typeface="Marlett" pitchFamily="2" charset="2"/>
            </a:rPr>
            <a:t>. LTV - Valor de un Cliente (Customer Lifetime Value)</a:t>
          </a:r>
          <a:endParaRPr lang="es-ES" sz="900" b="0" i="0" u="none" strike="noStrike" baseline="0">
            <a:solidFill>
              <a:srgbClr val="000000"/>
            </a:solidFill>
            <a:latin typeface="+mn-lt"/>
            <a:cs typeface="Aparajita"/>
          </a:endParaRPr>
        </a:p>
        <a:p>
          <a:pPr algn="l" rtl="0">
            <a:lnSpc>
              <a:spcPts val="800"/>
            </a:lnSpc>
            <a:spcBef>
              <a:spcPts val="100"/>
            </a:spcBef>
            <a:spcAft>
              <a:spcPts val="100"/>
            </a:spcAft>
            <a:defRPr sz="1000"/>
          </a:pPr>
          <a:endParaRPr lang="es-ES" sz="900" b="0" i="0" u="none" strike="noStrike" baseline="0">
            <a:solidFill>
              <a:srgbClr val="996633"/>
            </a:solidFill>
            <a:latin typeface="+mn-lt"/>
            <a:cs typeface="Aparajita"/>
          </a:endParaRPr>
        </a:p>
        <a:p>
          <a:pPr rtl="0" eaLnBrk="1" fontAlgn="auto" latinLnBrk="0" hangingPunct="1"/>
          <a:r>
            <a:rPr lang="es-ES" sz="800">
              <a:solidFill>
                <a:schemeClr val="dk1"/>
              </a:solidFill>
              <a:effectLst/>
              <a:latin typeface="+mn-lt"/>
              <a:ea typeface="+mn-ea"/>
              <a:cs typeface="+mn-cs"/>
              <a:sym typeface="Marlett" pitchFamily="2" charset="2"/>
            </a:rPr>
            <a:t></a:t>
          </a:r>
          <a:r>
            <a:rPr lang="es-ES" sz="800" u="sng">
              <a:solidFill>
                <a:schemeClr val="dk1"/>
              </a:solidFill>
              <a:effectLst/>
              <a:latin typeface="+mn-lt"/>
              <a:ea typeface="+mn-ea"/>
              <a:cs typeface="+mn-cs"/>
            </a:rPr>
            <a:t>ADVERTENCIA</a:t>
          </a:r>
          <a:r>
            <a:rPr lang="es-ES" sz="800">
              <a:solidFill>
                <a:schemeClr val="dk1"/>
              </a:solidFill>
              <a:effectLst/>
              <a:latin typeface="+mn-lt"/>
              <a:ea typeface="+mn-ea"/>
              <a:cs typeface="+mn-cs"/>
              <a:sym typeface="Marlett" pitchFamily="2" charset="2"/>
            </a:rPr>
            <a:t></a:t>
          </a:r>
          <a:endParaRPr lang="es-ES" sz="800">
            <a:effectLst/>
          </a:endParaRPr>
        </a:p>
        <a:p>
          <a:pPr rtl="0"/>
          <a:r>
            <a:rPr lang="es-ES" sz="800" b="0" i="0" baseline="0">
              <a:solidFill>
                <a:schemeClr val="dk1"/>
              </a:solidFill>
              <a:effectLst/>
              <a:latin typeface="+mn-lt"/>
              <a:ea typeface="+mn-ea"/>
              <a:cs typeface="+mn-cs"/>
            </a:rPr>
            <a:t>El Total de IVA Soportado por los Gastos de Mk NO son Gastos y, por tanto, el importe del IVA de estos Gastos no se trasladarán a la </a:t>
          </a:r>
          <a:r>
            <a:rPr lang="es-ES" sz="800" b="1" i="0" baseline="0">
              <a:solidFill>
                <a:schemeClr val="dk1"/>
              </a:solidFill>
              <a:effectLst/>
              <a:latin typeface="+mn-lt"/>
              <a:ea typeface="+mn-ea"/>
              <a:cs typeface="+mn-cs"/>
            </a:rPr>
            <a:t>hoj</a:t>
          </a:r>
          <a:r>
            <a:rPr lang="es-ES" sz="800" b="0" i="0" baseline="0">
              <a:solidFill>
                <a:schemeClr val="dk1"/>
              </a:solidFill>
              <a:effectLst/>
              <a:latin typeface="+mn-lt"/>
              <a:ea typeface="+mn-ea"/>
              <a:cs typeface="+mn-cs"/>
            </a:rPr>
            <a:t>a </a:t>
          </a:r>
          <a:r>
            <a:rPr lang="es-ES" sz="800" b="1" i="0" baseline="0">
              <a:solidFill>
                <a:schemeClr val="dk1"/>
              </a:solidFill>
              <a:effectLst/>
              <a:latin typeface="+mn-lt"/>
              <a:ea typeface="+mn-ea"/>
              <a:cs typeface="+mn-cs"/>
            </a:rPr>
            <a:t>4</a:t>
          </a:r>
          <a:r>
            <a:rPr lang="es-ES" sz="800" b="0" i="0" baseline="0">
              <a:solidFill>
                <a:schemeClr val="dk1"/>
              </a:solidFill>
              <a:effectLst/>
              <a:latin typeface="+mn-lt"/>
              <a:ea typeface="+mn-ea"/>
              <a:cs typeface="+mn-cs"/>
            </a:rPr>
            <a:t>. Pero si afecta a la Tesorería (Disponible) y, por lo tanto, se trasladará a la </a:t>
          </a:r>
          <a:r>
            <a:rPr lang="es-ES" sz="800" b="1" i="0" baseline="0">
              <a:solidFill>
                <a:schemeClr val="dk1"/>
              </a:solidFill>
              <a:effectLst/>
              <a:latin typeface="+mn-lt"/>
              <a:ea typeface="+mn-ea"/>
              <a:cs typeface="+mn-cs"/>
            </a:rPr>
            <a:t>hoja</a:t>
          </a:r>
          <a:r>
            <a:rPr lang="es-ES" sz="800" b="0" i="0" baseline="0">
              <a:solidFill>
                <a:schemeClr val="dk1"/>
              </a:solidFill>
              <a:effectLst/>
              <a:latin typeface="+mn-lt"/>
              <a:ea typeface="+mn-ea"/>
              <a:cs typeface="+mn-cs"/>
            </a:rPr>
            <a:t> </a:t>
          </a:r>
          <a:r>
            <a:rPr lang="es-ES" sz="800" b="1" i="0" baseline="0">
              <a:solidFill>
                <a:schemeClr val="dk1"/>
              </a:solidFill>
              <a:effectLst/>
              <a:latin typeface="+mn-lt"/>
              <a:ea typeface="+mn-ea"/>
              <a:cs typeface="+mn-cs"/>
            </a:rPr>
            <a:t>8</a:t>
          </a:r>
          <a:r>
            <a:rPr lang="es-ES" sz="800" b="0" i="0" baseline="0">
              <a:solidFill>
                <a:schemeClr val="dk1"/>
              </a:solidFill>
              <a:effectLst/>
              <a:latin typeface="+mn-lt"/>
              <a:ea typeface="+mn-ea"/>
              <a:cs typeface="+mn-cs"/>
            </a:rPr>
            <a:t>, al tratarse de pagos que habrá que saldar con los cobros por ventas de IVA y que, según esta "Plantilla PF", cada tres meses habrá que Liquidar con Hacienda.</a:t>
          </a:r>
          <a:endParaRPr lang="es-ES" sz="800">
            <a:effectLst/>
          </a:endParaRPr>
        </a:p>
        <a:p>
          <a:pPr algn="l" rtl="0">
            <a:lnSpc>
              <a:spcPct val="100000"/>
            </a:lnSpc>
            <a:spcBef>
              <a:spcPts val="0"/>
            </a:spcBef>
            <a:spcAft>
              <a:spcPts val="0"/>
            </a:spcAft>
            <a:defRPr sz="1000"/>
          </a:pPr>
          <a:endParaRPr lang="es-ES" sz="1000"/>
        </a:p>
      </xdr:txBody>
    </xdr:sp>
    <xdr:clientData/>
  </xdr:twoCellAnchor>
  <xdr:twoCellAnchor>
    <xdr:from>
      <xdr:col>0</xdr:col>
      <xdr:colOff>127001</xdr:colOff>
      <xdr:row>193</xdr:row>
      <xdr:rowOff>126999</xdr:rowOff>
    </xdr:from>
    <xdr:to>
      <xdr:col>3</xdr:col>
      <xdr:colOff>246063</xdr:colOff>
      <xdr:row>218</xdr:row>
      <xdr:rowOff>63500</xdr:rowOff>
    </xdr:to>
    <xdr:sp macro="" textlink="">
      <xdr:nvSpPr>
        <xdr:cNvPr id="14" name="CuadroTexto 13">
          <a:extLst>
            <a:ext uri="{FF2B5EF4-FFF2-40B4-BE49-F238E27FC236}">
              <a16:creationId xmlns:a16="http://schemas.microsoft.com/office/drawing/2014/main" id="{00000000-0008-0000-0200-00000E000000}"/>
            </a:ext>
          </a:extLst>
        </xdr:cNvPr>
        <xdr:cNvSpPr txBox="1"/>
      </xdr:nvSpPr>
      <xdr:spPr>
        <a:xfrm>
          <a:off x="127001" y="30765749"/>
          <a:ext cx="7731125" cy="3905251"/>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ct val="100000"/>
            </a:lnSpc>
            <a:spcBef>
              <a:spcPts val="0"/>
            </a:spcBef>
            <a:spcAft>
              <a:spcPts val="0"/>
            </a:spcAft>
            <a:defRPr sz="1000"/>
          </a:pPr>
          <a:r>
            <a:rPr lang="es-ES" sz="900" b="1" i="0" u="none" strike="noStrike" baseline="0">
              <a:solidFill>
                <a:srgbClr val="000000"/>
              </a:solidFill>
              <a:latin typeface="+mn-lt"/>
              <a:cs typeface="Aparajita" panose="020B0604020202020204" pitchFamily="34" charset="0"/>
            </a:rPr>
            <a:t>5. RRHH (Ej. 1º, 2º)</a:t>
          </a:r>
          <a:r>
            <a:rPr lang="es-ES" sz="900" b="0" i="0" u="none" strike="noStrike" baseline="0">
              <a:solidFill>
                <a:srgbClr val="000000"/>
              </a:solidFill>
              <a:latin typeface="+mn-lt"/>
              <a:cs typeface="Aparajita" panose="020B0604020202020204" pitchFamily="34" charset="0"/>
            </a:rPr>
            <a:t> </a:t>
          </a:r>
          <a:r>
            <a:rPr lang="es-ES" sz="900" b="0" i="1" u="none" strike="noStrike" baseline="0">
              <a:solidFill>
                <a:srgbClr val="000000"/>
              </a:solidFill>
              <a:latin typeface="+mn-lt"/>
              <a:cs typeface="Aparajita" panose="020B0604020202020204" pitchFamily="34" charset="0"/>
            </a:rPr>
            <a:t>(2 páginas)</a:t>
          </a:r>
        </a:p>
        <a:p>
          <a:pPr algn="l" rtl="0">
            <a:lnSpc>
              <a:spcPct val="100000"/>
            </a:lnSpc>
            <a:spcBef>
              <a:spcPts val="0"/>
            </a:spcBef>
            <a:spcAft>
              <a:spcPts val="0"/>
            </a:spcAft>
            <a:defRPr sz="1000"/>
          </a:pPr>
          <a:endParaRPr lang="es-ES" sz="900" b="0" i="0" u="none" strike="noStrike" baseline="0">
            <a:solidFill>
              <a:srgbClr val="000000"/>
            </a:solidFill>
            <a:latin typeface="+mn-lt"/>
            <a:cs typeface="Aparajita" panose="020B0604020202020204" pitchFamily="34" charset="0"/>
          </a:endParaRP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En el primer cuadro de esta hoja se debe cuantificar el gasto de personal que se prevé que forme parte de la estructura de la empresa, importes que se copiarán desde esta hoja a las celdas de las filas14, 15 y 16 de la </a:t>
          </a:r>
          <a:r>
            <a:rPr lang="es-ES" sz="900" b="1" i="0" u="none" strike="noStrike" baseline="0">
              <a:solidFill>
                <a:srgbClr val="000000"/>
              </a:solidFill>
              <a:latin typeface="+mn-lt"/>
              <a:cs typeface="Aparajita" panose="020B0604020202020204" pitchFamily="34" charset="0"/>
            </a:rPr>
            <a:t>hoja 6</a:t>
          </a:r>
          <a:r>
            <a:rPr lang="es-ES" sz="900" b="0" i="0" u="none" strike="noStrike" baseline="0">
              <a:solidFill>
                <a:srgbClr val="000000"/>
              </a:solidFill>
              <a:latin typeface="+mn-lt"/>
              <a:cs typeface="Aparajita" panose="020B0604020202020204" pitchFamily="34" charset="0"/>
            </a:rPr>
            <a:t>.</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En la columna A hay que escribir el nombre y/o categoría de los emprendedores que van a trabajar en la empresa, sean socios-trabajadores o personas físicas-trabajadoras (celdas A10 a A13) y de los empleados (A15 a A19-29), tanto los/as que vayan a formar parte de la plantilla desde el primer ejercicio, como los/as que se incorporen en el ejercicio posterior. Los importes de los Salarios Brutos Anuales de los que se incorporen en el segundo ejercicio, hay que reflejarlo en la celda que corresponda de la columna AF.</a:t>
          </a:r>
        </a:p>
        <a:p>
          <a:pPr algn="l" rtl="0">
            <a:lnSpc>
              <a:spcPct val="100000"/>
            </a:lnSpc>
            <a:spcBef>
              <a:spcPts val="0"/>
            </a:spcBef>
            <a:spcAft>
              <a:spcPts val="0"/>
            </a:spcAft>
            <a:defRPr sz="1000"/>
          </a:pPr>
          <a:endParaRPr lang="es-ES" sz="900" b="0" i="0" u="none" strike="noStrike" baseline="0">
            <a:solidFill>
              <a:srgbClr val="000000"/>
            </a:solidFill>
            <a:latin typeface="+mn-lt"/>
            <a:cs typeface="Aparajita" panose="020B0604020202020204" pitchFamily="34" charset="0"/>
          </a:endParaRP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 la derecha del cuadro de información de gasto anual de los dos primeros ejercicios, existen unos cuadros con los gastos trimestralizados ,(para el 1º ejercicio, columnas de M a AA), (para el 2º ejercicio, columnas AP a BD), en los cuales los gastos del/los trimestre/s de aquellos socios-trabajadores y empleados que no estén incorporados a la empresa, se pueden borrar.</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s-ES" sz="800">
              <a:solidFill>
                <a:schemeClr val="dk1"/>
              </a:solidFill>
              <a:effectLst/>
              <a:latin typeface="+mn-lt"/>
              <a:ea typeface="+mn-ea"/>
              <a:cs typeface="Aparajita" panose="020B0604020202020204" pitchFamily="34" charset="0"/>
              <a:sym typeface="Marlett" pitchFamily="2" charset="2"/>
            </a:rPr>
            <a:t></a:t>
          </a:r>
          <a:r>
            <a:rPr lang="es-ES" sz="800" u="sng">
              <a:solidFill>
                <a:schemeClr val="dk1"/>
              </a:solidFill>
              <a:effectLst/>
              <a:latin typeface="+mn-lt"/>
              <a:ea typeface="+mn-ea"/>
              <a:cs typeface="Aparajita" panose="020B0604020202020204" pitchFamily="34" charset="0"/>
            </a:rPr>
            <a:t>ADVERTENCIAS</a:t>
          </a:r>
          <a:r>
            <a:rPr lang="es-ES" sz="800">
              <a:solidFill>
                <a:schemeClr val="dk1"/>
              </a:solidFill>
              <a:effectLst/>
              <a:latin typeface="+mn-lt"/>
              <a:ea typeface="+mn-ea"/>
              <a:cs typeface="Aparajita" panose="020B0604020202020204" pitchFamily="34" charset="0"/>
            </a:rPr>
            <a:t> </a:t>
          </a:r>
          <a:r>
            <a:rPr lang="es-ES" sz="800">
              <a:solidFill>
                <a:schemeClr val="dk1"/>
              </a:solidFill>
              <a:effectLst/>
              <a:latin typeface="+mn-lt"/>
              <a:ea typeface="+mn-ea"/>
              <a:cs typeface="Aparajita" panose="020B0604020202020204" pitchFamily="34" charset="0"/>
              <a:sym typeface="Marlett" pitchFamily="2" charset="2"/>
            </a:rPr>
            <a:t></a:t>
          </a:r>
          <a:endParaRPr lang="es-ES" sz="800">
            <a:effectLst/>
            <a:latin typeface="+mn-lt"/>
            <a:cs typeface="Aparajita" panose="020B0604020202020204" pitchFamily="34" charset="0"/>
          </a:endParaRP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Si no se dispone de suficientes celdas/filas (de la 15 a la 19) para reflejar los gastos de personal, desocultar las filas 20 a 29, para lo cual hay que desproteger la hoja.</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Recordar que en las celdas de color verde lima se pueden incorporar datos, y en las de color verde se pueden incorporar y/o modificar.</a:t>
          </a:r>
        </a:p>
        <a:p>
          <a:pPr algn="l" rtl="0">
            <a:lnSpc>
              <a:spcPct val="100000"/>
            </a:lnSpc>
            <a:spcBef>
              <a:spcPts val="0"/>
            </a:spcBef>
            <a:spcAft>
              <a:spcPts val="0"/>
            </a:spcAft>
            <a:defRPr sz="1000"/>
          </a:pPr>
          <a:endParaRPr lang="es-ES" sz="800" b="0" i="0" u="none" strike="noStrike" baseline="0">
            <a:solidFill>
              <a:srgbClr val="000000"/>
            </a:solidFill>
            <a:latin typeface="+mn-lt"/>
            <a:cs typeface="Aparajita" panose="020B0604020202020204" pitchFamily="34" charset="0"/>
          </a:endParaRP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En esta "Plantilla PF" hay que considerar las cuotas de la SS de Autónomos (RETA) como un coste mas de la actividad, y reflejarlas en las celdas correspondientes. Teniendo en cuenta que formalmente, desde el punto de vista contable y fiscal, sólo quedaría justificado este gasto, como gasto de personal, si dicha cantidad se encuentra entre las remuneraciones pactadas con el personal de la empresa como contraprestación de su trabajo (entre las cuales puede estar la del titular de la explotación, en caso de que sea empresario individual).</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En las celdas del cuadro "Nº de Puestos de Trabajo", hay que indicar el número de socio/s o empresario/s que trabajarán en la misma, y el número de empleados a contratar. Si van a trabajar toda la jornada, hay que escribir 1, si es media jornada 0,5, si es un cuarto de jornada 0,25, si es un tercio 0,33.</a:t>
          </a:r>
        </a:p>
        <a:p>
          <a:pPr algn="l" rtl="0">
            <a:lnSpc>
              <a:spcPct val="100000"/>
            </a:lnSpc>
            <a:spcBef>
              <a:spcPts val="0"/>
            </a:spcBef>
            <a:spcAft>
              <a:spcPts val="0"/>
            </a:spcAft>
            <a:defRPr sz="1000"/>
          </a:pPr>
          <a:endParaRPr lang="es-ES" sz="900" b="0" i="0" u="none" strike="noStrike" baseline="0">
            <a:solidFill>
              <a:srgbClr val="000000"/>
            </a:solidFill>
            <a:latin typeface="+mn-lt"/>
            <a:cs typeface="Aparajita" panose="020B0604020202020204" pitchFamily="34" charset="0"/>
          </a:endParaRPr>
        </a:p>
        <a:p>
          <a:pPr algn="l" rtl="0">
            <a:lnSpc>
              <a:spcPct val="100000"/>
            </a:lnSpc>
            <a:spcBef>
              <a:spcPts val="0"/>
            </a:spcBef>
            <a:spcAft>
              <a:spcPts val="0"/>
            </a:spcAft>
            <a:defRPr sz="1000"/>
          </a:pPr>
          <a:r>
            <a:rPr lang="es-ES" sz="900" b="0" i="0" u="none" strike="noStrike" baseline="0">
              <a:solidFill>
                <a:schemeClr val="bg1">
                  <a:lumMod val="50000"/>
                </a:schemeClr>
              </a:solidFill>
              <a:latin typeface="+mn-lt"/>
              <a:cs typeface="Aparajita" panose="020B0604020202020204" pitchFamily="34" charset="0"/>
            </a:rPr>
            <a:t>. Para quienes vayan a hacer una Planificación a 5 años, desocultar (mostrar) las columnas comprendidas entre BG y DE.</a:t>
          </a:r>
        </a:p>
        <a:p>
          <a:pPr algn="l" rtl="0">
            <a:lnSpc>
              <a:spcPts val="500"/>
            </a:lnSpc>
            <a:defRPr sz="1000"/>
          </a:pPr>
          <a:endParaRPr lang="es-ES" sz="900" b="0" i="0" u="none" strike="noStrike" baseline="0">
            <a:solidFill>
              <a:srgbClr val="000000"/>
            </a:solidFill>
            <a:latin typeface="Aparajita" panose="020B0604020202020204" pitchFamily="34" charset="0"/>
            <a:cs typeface="Aparajita" panose="020B0604020202020204" pitchFamily="34" charset="0"/>
          </a:endParaRPr>
        </a:p>
        <a:p>
          <a:pPr algn="l" rtl="0">
            <a:lnSpc>
              <a:spcPts val="1000"/>
            </a:lnSpc>
            <a:defRPr sz="1000"/>
          </a:pPr>
          <a:endParaRPr lang="es-ES" sz="900">
            <a:latin typeface="Aparajita" panose="020B0604020202020204" pitchFamily="34" charset="0"/>
            <a:cs typeface="Aparajita" panose="020B0604020202020204" pitchFamily="34" charset="0"/>
          </a:endParaRPr>
        </a:p>
      </xdr:txBody>
    </xdr:sp>
    <xdr:clientData/>
  </xdr:twoCellAnchor>
  <xdr:twoCellAnchor>
    <xdr:from>
      <xdr:col>0</xdr:col>
      <xdr:colOff>134937</xdr:colOff>
      <xdr:row>219</xdr:row>
      <xdr:rowOff>23814</xdr:rowOff>
    </xdr:from>
    <xdr:to>
      <xdr:col>3</xdr:col>
      <xdr:colOff>134618</xdr:colOff>
      <xdr:row>286</xdr:row>
      <xdr:rowOff>95251</xdr:rowOff>
    </xdr:to>
    <xdr:sp macro="" textlink="">
      <xdr:nvSpPr>
        <xdr:cNvPr id="16" name="CuadroTexto 15">
          <a:extLst>
            <a:ext uri="{FF2B5EF4-FFF2-40B4-BE49-F238E27FC236}">
              <a16:creationId xmlns:a16="http://schemas.microsoft.com/office/drawing/2014/main" id="{00000000-0008-0000-0200-000010000000}"/>
            </a:ext>
          </a:extLst>
        </xdr:cNvPr>
        <xdr:cNvSpPr txBox="1"/>
      </xdr:nvSpPr>
      <xdr:spPr>
        <a:xfrm>
          <a:off x="134937" y="34790064"/>
          <a:ext cx="7611744" cy="10691812"/>
        </a:xfrm>
        <a:prstGeom prst="rect">
          <a:avLst/>
        </a:prstGeom>
        <a:solidFill>
          <a:srgbClr val="DC9E9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800"/>
            </a:lnSpc>
            <a:spcBef>
              <a:spcPts val="100"/>
            </a:spcBef>
            <a:spcAft>
              <a:spcPts val="100"/>
            </a:spcAft>
            <a:defRPr sz="1000"/>
          </a:pPr>
          <a:r>
            <a:rPr lang="es-ES" sz="900" b="1" i="0" u="none" strike="noStrike" baseline="0">
              <a:solidFill>
                <a:srgbClr val="000000"/>
              </a:solidFill>
              <a:latin typeface="+mn-lt"/>
              <a:cs typeface="Aparajita" panose="020B0604020202020204" pitchFamily="34" charset="0"/>
            </a:rPr>
            <a:t>6. P y G (Ej 1º, 2º)</a:t>
          </a:r>
          <a:r>
            <a:rPr lang="es-ES" sz="900" b="0" i="0" u="none" strike="noStrike" baseline="0">
              <a:solidFill>
                <a:srgbClr val="000000"/>
              </a:solidFill>
              <a:latin typeface="+mn-lt"/>
              <a:cs typeface="Aparajita" panose="020B0604020202020204" pitchFamily="34" charset="0"/>
            </a:rPr>
            <a:t> </a:t>
          </a:r>
          <a:r>
            <a:rPr lang="es-ES" sz="900" b="0" i="1" u="none" strike="noStrike" baseline="0">
              <a:solidFill>
                <a:srgbClr val="000000"/>
              </a:solidFill>
              <a:latin typeface="+mn-lt"/>
              <a:cs typeface="Aparajita" panose="020B0604020202020204" pitchFamily="34" charset="0"/>
            </a:rPr>
            <a:t>(2 páginas)</a:t>
          </a:r>
          <a:endParaRPr lang="es-ES" sz="900" b="0" i="0" u="none" strike="noStrike" baseline="0">
            <a:solidFill>
              <a:srgbClr val="000000"/>
            </a:solidFill>
            <a:latin typeface="+mn-lt"/>
            <a:cs typeface="Aparajita" panose="020B0604020202020204" pitchFamily="34" charset="0"/>
          </a:endParaRPr>
        </a:p>
        <a:p>
          <a:pPr algn="l" rtl="0">
            <a:lnSpc>
              <a:spcPts val="800"/>
            </a:lnSpc>
            <a:spcBef>
              <a:spcPts val="100"/>
            </a:spcBef>
            <a:spcAft>
              <a:spcPts val="100"/>
            </a:spcAft>
            <a:defRPr sz="1000"/>
          </a:pPr>
          <a:r>
            <a:rPr lang="es-ES" sz="9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La </a:t>
          </a:r>
          <a:r>
            <a:rPr lang="es-ES" sz="900" b="0" i="1" u="none" strike="noStrike" baseline="0">
              <a:solidFill>
                <a:srgbClr val="000000"/>
              </a:solidFill>
              <a:latin typeface="+mn-lt"/>
              <a:cs typeface="Aparajita" panose="020B0604020202020204" pitchFamily="34" charset="0"/>
            </a:rPr>
            <a:t>cuenta de pérdidas y ganancias, o de resultados, previsional, </a:t>
          </a:r>
          <a:r>
            <a:rPr lang="es-ES" sz="900" b="0" i="0" u="none" strike="noStrike" baseline="0">
              <a:solidFill>
                <a:srgbClr val="000000"/>
              </a:solidFill>
              <a:latin typeface="+mn-lt"/>
              <a:cs typeface="Aparajita" panose="020B0604020202020204" pitchFamily="34" charset="0"/>
            </a:rPr>
            <a:t>es uno de los estados financieros previsionales que conforman el "Plan  E-Financiero".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Es el documento donde van a quedar reflejados, mes a mes, todos los </a:t>
          </a:r>
          <a:r>
            <a:rPr lang="es-ES" sz="900" b="0" i="1" u="none" strike="noStrike" baseline="0">
              <a:solidFill>
                <a:srgbClr val="000000"/>
              </a:solidFill>
              <a:latin typeface="+mn-lt"/>
              <a:cs typeface="Aparajita" panose="020B0604020202020204" pitchFamily="34" charset="0"/>
            </a:rPr>
            <a:t>gastos consumidos (o costes) </a:t>
          </a:r>
          <a:r>
            <a:rPr lang="es-ES" sz="900" b="0" i="0" u="none" strike="noStrike" baseline="0">
              <a:solidFill>
                <a:srgbClr val="000000"/>
              </a:solidFill>
              <a:latin typeface="+mn-lt"/>
              <a:cs typeface="Aparajita" panose="020B0604020202020204" pitchFamily="34" charset="0"/>
            </a:rPr>
            <a:t>e </a:t>
          </a:r>
          <a:r>
            <a:rPr lang="es-ES" sz="900" b="0" i="1" u="none" strike="noStrike" baseline="0">
              <a:solidFill>
                <a:srgbClr val="000000"/>
              </a:solidFill>
              <a:latin typeface="+mn-lt"/>
              <a:cs typeface="Aparajita" panose="020B0604020202020204" pitchFamily="34" charset="0"/>
            </a:rPr>
            <a:t>ingresos, </a:t>
          </a:r>
          <a:r>
            <a:rPr lang="es-ES" sz="900" b="0" i="0" u="none" strike="noStrike" baseline="0">
              <a:solidFill>
                <a:srgbClr val="000000"/>
              </a:solidFill>
              <a:latin typeface="+mn-lt"/>
              <a:cs typeface="Aparajita" panose="020B0604020202020204" pitchFamily="34" charset="0"/>
            </a:rPr>
            <a:t>de los dos primeros ejercicios económicos estimados.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En las celdas de la columna A algunos conceptos de gasto consumido (coste) llevan incorporado un comentario aclaratorio que indica que elementosde gasto pueden imputarse a dicho concepto.</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Al abrir esta </a:t>
          </a:r>
          <a:r>
            <a:rPr lang="es-ES" sz="900" b="1" i="0" u="none" strike="noStrike" baseline="0">
              <a:solidFill>
                <a:srgbClr val="000000"/>
              </a:solidFill>
              <a:latin typeface="+mn-lt"/>
              <a:cs typeface="Aparajita" panose="020B0604020202020204" pitchFamily="34" charset="0"/>
            </a:rPr>
            <a:t>hoja 6</a:t>
          </a:r>
          <a:r>
            <a:rPr lang="es-ES" sz="900" b="0" i="0" u="none" strike="noStrike" baseline="0">
              <a:solidFill>
                <a:srgbClr val="000000"/>
              </a:solidFill>
              <a:latin typeface="+mn-lt"/>
              <a:cs typeface="Aparajita" panose="020B0604020202020204" pitchFamily="34" charset="0"/>
            </a:rPr>
            <a:t> nos encontraremos con que las celdas de algunas filas ya contienen datos, que corresponde a importes introducidos en hojas anteriores: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Si se ha confeccionado en la </a:t>
          </a:r>
          <a:r>
            <a:rPr lang="es-ES" sz="900" b="1" i="0" u="none" strike="noStrike" baseline="0">
              <a:solidFill>
                <a:srgbClr val="000000"/>
              </a:solidFill>
              <a:latin typeface="+mn-lt"/>
              <a:cs typeface="Aparajita" panose="020B0604020202020204" pitchFamily="34" charset="0"/>
            </a:rPr>
            <a:t>hoja  2</a:t>
          </a:r>
          <a:r>
            <a:rPr lang="es-ES" sz="900" b="0" i="0" u="none" strike="noStrike" baseline="0">
              <a:solidFill>
                <a:srgbClr val="000000"/>
              </a:solidFill>
              <a:latin typeface="+mn-lt"/>
              <a:cs typeface="Aparajita" panose="020B0604020202020204" pitchFamily="34" charset="0"/>
            </a:rPr>
            <a:t> el </a:t>
          </a:r>
          <a:r>
            <a:rPr lang="es-ES" sz="900" b="1" i="0" u="none" strike="noStrike" baseline="0">
              <a:solidFill>
                <a:srgbClr val="000000"/>
              </a:solidFill>
              <a:latin typeface="+mn-lt"/>
              <a:cs typeface="Aparajita" panose="020B0604020202020204" pitchFamily="34" charset="0"/>
            </a:rPr>
            <a:t>Presupuesto de Ventas </a:t>
          </a:r>
          <a:r>
            <a:rPr lang="es-ES" sz="900" b="0" i="0" u="none" strike="noStrike" baseline="0">
              <a:solidFill>
                <a:srgbClr val="000000"/>
              </a:solidFill>
              <a:latin typeface="+mn-lt"/>
              <a:cs typeface="Aparajita" panose="020B0604020202020204" pitchFamily="34" charset="0"/>
            </a:rPr>
            <a:t>(</a:t>
          </a:r>
          <a:r>
            <a:rPr lang="es-ES" sz="900" b="1" i="0" u="none" strike="noStrike" baseline="0">
              <a:solidFill>
                <a:srgbClr val="000000"/>
              </a:solidFill>
              <a:latin typeface="+mn-lt"/>
              <a:cs typeface="Aparajita" panose="020B0604020202020204" pitchFamily="34" charset="0"/>
            </a:rPr>
            <a:t>fila 25</a:t>
          </a:r>
          <a:r>
            <a:rPr lang="es-ES" sz="900" b="0" i="0" u="none" strike="noStrike" baseline="0">
              <a:solidFill>
                <a:srgbClr val="000000"/>
              </a:solidFill>
              <a:latin typeface="+mn-lt"/>
              <a:cs typeface="Aparajita" panose="020B0604020202020204" pitchFamily="34" charset="0"/>
            </a:rPr>
            <a:t>), los importes de dicha fila se habrán trasladado a la </a:t>
          </a:r>
          <a:r>
            <a:rPr lang="es-ES" sz="900" b="1" i="0" u="none" strike="noStrike" baseline="0">
              <a:solidFill>
                <a:srgbClr val="000000"/>
              </a:solidFill>
              <a:latin typeface="+mn-lt"/>
              <a:cs typeface="Aparajita" panose="020B0604020202020204" pitchFamily="34" charset="0"/>
            </a:rPr>
            <a:t>fila 10 </a:t>
          </a:r>
          <a:r>
            <a:rPr lang="es-ES" sz="900" b="0" i="0" u="none" strike="noStrike" baseline="0">
              <a:solidFill>
                <a:srgbClr val="000000"/>
              </a:solidFill>
              <a:latin typeface="+mn-lt"/>
              <a:cs typeface="Aparajita" panose="020B0604020202020204" pitchFamily="34" charset="0"/>
            </a:rPr>
            <a:t>de la </a:t>
          </a:r>
          <a:r>
            <a:rPr lang="es-ES" sz="900" b="1" i="0" u="none" strike="noStrike" baseline="0">
              <a:solidFill>
                <a:srgbClr val="000000"/>
              </a:solidFill>
              <a:latin typeface="+mn-lt"/>
              <a:cs typeface="Aparajita" panose="020B0604020202020204" pitchFamily="34" charset="0"/>
            </a:rPr>
            <a:t>hoja 6</a:t>
          </a:r>
          <a:r>
            <a:rPr lang="es-ES" sz="900" b="0" i="0" u="none" strike="noStrike" baseline="0">
              <a:solidFill>
                <a:srgbClr val="000000"/>
              </a:solidFill>
              <a:latin typeface="+mn-lt"/>
              <a:cs typeface="Aparajita" panose="020B0604020202020204" pitchFamily="34" charset="0"/>
            </a:rPr>
            <a:t>.</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Los importes de la </a:t>
          </a:r>
          <a:r>
            <a:rPr lang="es-ES" sz="900" b="1" i="0" u="none" strike="noStrike" baseline="0">
              <a:solidFill>
                <a:srgbClr val="000000"/>
              </a:solidFill>
              <a:latin typeface="+mn-lt"/>
              <a:cs typeface="Aparajita" panose="020B0604020202020204" pitchFamily="34" charset="0"/>
            </a:rPr>
            <a:t>fila</a:t>
          </a:r>
          <a:r>
            <a:rPr lang="es-ES" sz="900" b="0" i="0" u="none" strike="noStrike" baseline="0">
              <a:solidFill>
                <a:srgbClr val="000000"/>
              </a:solidFill>
              <a:latin typeface="+mn-lt"/>
              <a:cs typeface="Aparajita" panose="020B0604020202020204" pitchFamily="34" charset="0"/>
            </a:rPr>
            <a:t> 41 de la </a:t>
          </a:r>
          <a:r>
            <a:rPr lang="es-ES" sz="900" b="1" i="0" u="none" strike="noStrike" baseline="0">
              <a:solidFill>
                <a:srgbClr val="000000"/>
              </a:solidFill>
              <a:latin typeface="+mn-lt"/>
              <a:cs typeface="Aparajita" panose="020B0604020202020204" pitchFamily="34" charset="0"/>
            </a:rPr>
            <a:t>hoja 3</a:t>
          </a:r>
          <a:r>
            <a:rPr lang="es-ES" sz="900" b="0" i="0" u="none" strike="noStrike" baseline="0">
              <a:solidFill>
                <a:srgbClr val="000000"/>
              </a:solidFill>
              <a:latin typeface="+mn-lt"/>
              <a:cs typeface="Aparajita" panose="020B0604020202020204" pitchFamily="34" charset="0"/>
            </a:rPr>
            <a:t>, Los </a:t>
          </a:r>
          <a:r>
            <a:rPr lang="es-ES" sz="900" b="1" i="0" u="none" strike="noStrike" baseline="0">
              <a:solidFill>
                <a:srgbClr val="000000"/>
              </a:solidFill>
              <a:latin typeface="+mn-lt"/>
              <a:cs typeface="Aparajita" panose="020B0604020202020204" pitchFamily="34" charset="0"/>
            </a:rPr>
            <a:t>Costes Directos Variables</a:t>
          </a:r>
          <a:r>
            <a:rPr lang="es-ES" sz="900" b="0" i="0" u="none" strike="noStrike" baseline="0">
              <a:solidFill>
                <a:srgbClr val="000000"/>
              </a:solidFill>
              <a:latin typeface="+mn-lt"/>
              <a:cs typeface="Aparajita" panose="020B0604020202020204" pitchFamily="34" charset="0"/>
            </a:rPr>
            <a:t>, se habrán trasladado a la </a:t>
          </a:r>
          <a:r>
            <a:rPr lang="es-ES" sz="900" b="1" i="0" u="none" strike="noStrike" baseline="0">
              <a:solidFill>
                <a:srgbClr val="000000"/>
              </a:solidFill>
              <a:latin typeface="+mn-lt"/>
              <a:cs typeface="Aparajita" panose="020B0604020202020204" pitchFamily="34" charset="0"/>
            </a:rPr>
            <a:t>fila 12 </a:t>
          </a:r>
          <a:r>
            <a:rPr lang="es-ES" sz="900" b="0" i="0" u="none" strike="noStrike" baseline="0">
              <a:solidFill>
                <a:srgbClr val="000000"/>
              </a:solidFill>
              <a:latin typeface="+mn-lt"/>
              <a:cs typeface="Aparajita" panose="020B0604020202020204" pitchFamily="34" charset="0"/>
            </a:rPr>
            <a:t>de la </a:t>
          </a:r>
          <a:r>
            <a:rPr lang="es-ES" sz="900" b="1" i="0" u="none" strike="noStrike" baseline="0">
              <a:solidFill>
                <a:srgbClr val="000000"/>
              </a:solidFill>
              <a:latin typeface="+mn-lt"/>
              <a:cs typeface="Aparajita" panose="020B0604020202020204" pitchFamily="34" charset="0"/>
            </a:rPr>
            <a:t>hoja 6</a:t>
          </a:r>
          <a:r>
            <a:rPr lang="es-ES" sz="900" b="0" i="0" u="none" strike="noStrike" baseline="0">
              <a:solidFill>
                <a:srgbClr val="000000"/>
              </a:solidFill>
              <a:latin typeface="+mn-lt"/>
              <a:cs typeface="Aparajita" panose="020B0604020202020204" pitchFamily="34" charset="0"/>
            </a:rPr>
            <a:t>.</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Los </a:t>
          </a:r>
          <a:r>
            <a:rPr lang="es-ES" sz="900" b="1" i="0" u="none" strike="noStrike" baseline="0">
              <a:solidFill>
                <a:srgbClr val="000000"/>
              </a:solidFill>
              <a:latin typeface="+mn-lt"/>
              <a:cs typeface="Aparajita" panose="020B0604020202020204" pitchFamily="34" charset="0"/>
            </a:rPr>
            <a:t>Costes de Marketing </a:t>
          </a:r>
          <a:r>
            <a:rPr lang="es-ES" sz="900" b="0" i="0" u="none" strike="noStrike" baseline="0">
              <a:solidFill>
                <a:srgbClr val="000000"/>
              </a:solidFill>
              <a:latin typeface="+mn-lt"/>
              <a:cs typeface="Aparajita" panose="020B0604020202020204" pitchFamily="34" charset="0"/>
            </a:rPr>
            <a:t>(</a:t>
          </a:r>
          <a:r>
            <a:rPr lang="es-ES" sz="900" b="1" i="0" u="none" strike="noStrike" baseline="0">
              <a:solidFill>
                <a:srgbClr val="000000"/>
              </a:solidFill>
              <a:latin typeface="+mn-lt"/>
              <a:cs typeface="Aparajita" panose="020B0604020202020204" pitchFamily="34" charset="0"/>
            </a:rPr>
            <a:t>fila 10 de la hoja 2</a:t>
          </a:r>
          <a:r>
            <a:rPr lang="es-ES" sz="900" b="0" i="0" u="none" strike="noStrike" baseline="0">
              <a:solidFill>
                <a:srgbClr val="000000"/>
              </a:solidFill>
              <a:latin typeface="+mn-lt"/>
              <a:cs typeface="Aparajita" panose="020B0604020202020204" pitchFamily="34" charset="0"/>
            </a:rPr>
            <a:t>), se habrán trasladado a las </a:t>
          </a:r>
          <a:r>
            <a:rPr lang="es-ES" sz="900" b="1" i="0" u="none" strike="noStrike" baseline="0">
              <a:solidFill>
                <a:srgbClr val="000000"/>
              </a:solidFill>
              <a:latin typeface="+mn-lt"/>
              <a:cs typeface="Aparajita" panose="020B0604020202020204" pitchFamily="34" charset="0"/>
            </a:rPr>
            <a:t>fila 21 de la hoja 6</a:t>
          </a:r>
          <a:r>
            <a:rPr lang="es-ES" sz="900" b="0" i="0" u="none" strike="noStrike" baseline="0">
              <a:solidFill>
                <a:srgbClr val="000000"/>
              </a:solidFill>
              <a:latin typeface="+mn-lt"/>
              <a:cs typeface="Aparajita" panose="020B0604020202020204" pitchFamily="34" charset="0"/>
            </a:rPr>
            <a:t>.</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Los </a:t>
          </a:r>
          <a:r>
            <a:rPr lang="es-ES" sz="900" b="1" i="0" u="none" strike="noStrike" baseline="0">
              <a:solidFill>
                <a:srgbClr val="000000"/>
              </a:solidFill>
              <a:latin typeface="+mn-lt"/>
              <a:cs typeface="Aparajita" panose="020B0604020202020204" pitchFamily="34" charset="0"/>
            </a:rPr>
            <a:t>Costes de Personal </a:t>
          </a:r>
          <a:r>
            <a:rPr lang="es-ES" sz="900" b="0" i="0" u="none" strike="noStrike" baseline="0">
              <a:solidFill>
                <a:srgbClr val="000000"/>
              </a:solidFill>
              <a:latin typeface="+mn-lt"/>
              <a:cs typeface="Aparajita" panose="020B0604020202020204" pitchFamily="34" charset="0"/>
            </a:rPr>
            <a:t>(Sueldos y Salarios más Seguridad Social) reflejados en la </a:t>
          </a:r>
          <a:r>
            <a:rPr lang="es-ES" sz="900" b="1" i="0" u="none" strike="noStrike" baseline="0">
              <a:solidFill>
                <a:srgbClr val="000000"/>
              </a:solidFill>
              <a:latin typeface="+mn-lt"/>
              <a:cs typeface="Aparajita" panose="020B0604020202020204" pitchFamily="34" charset="0"/>
            </a:rPr>
            <a:t>hoja 5 (fila 23</a:t>
          </a:r>
          <a:r>
            <a:rPr lang="es-ES" sz="900" b="0" i="0" u="none" strike="noStrike" baseline="0">
              <a:solidFill>
                <a:srgbClr val="000000"/>
              </a:solidFill>
              <a:latin typeface="+mn-lt"/>
              <a:cs typeface="Aparajita" panose="020B0604020202020204" pitchFamily="34" charset="0"/>
            </a:rPr>
            <a:t>), se trasladan a las </a:t>
          </a:r>
          <a:r>
            <a:rPr lang="es-ES" sz="900" b="1" i="0" u="none" strike="noStrike" baseline="0">
              <a:solidFill>
                <a:srgbClr val="000000"/>
              </a:solidFill>
              <a:latin typeface="+mn-lt"/>
              <a:cs typeface="Aparajita" panose="020B0604020202020204" pitchFamily="34" charset="0"/>
            </a:rPr>
            <a:t>filas 14, 15 y 16 de la hoja 6</a:t>
          </a:r>
          <a:r>
            <a:rPr lang="es-ES" sz="900" b="0" i="0" u="none" strike="noStrike" baseline="0">
              <a:solidFill>
                <a:srgbClr val="000000"/>
              </a:solidFill>
              <a:latin typeface="+mn-lt"/>
              <a:cs typeface="Aparajita" panose="020B0604020202020204" pitchFamily="34" charset="0"/>
            </a:rPr>
            <a:t>.</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Cuando en la </a:t>
          </a:r>
          <a:r>
            <a:rPr lang="es-ES" sz="900" b="1" i="0" u="none" strike="noStrike" baseline="0">
              <a:solidFill>
                <a:srgbClr val="000000"/>
              </a:solidFill>
              <a:latin typeface="+mn-lt"/>
              <a:cs typeface="Aparajita" panose="020B0604020202020204" pitchFamily="34" charset="0"/>
            </a:rPr>
            <a:t>hoja 7</a:t>
          </a:r>
          <a:r>
            <a:rPr lang="es-ES" sz="900" b="0" i="0" u="none" strike="noStrike" baseline="0">
              <a:solidFill>
                <a:srgbClr val="000000"/>
              </a:solidFill>
              <a:latin typeface="+mn-lt"/>
              <a:cs typeface="Aparajita" panose="020B0604020202020204" pitchFamily="34" charset="0"/>
            </a:rPr>
            <a:t> se reflejen los importes de las Inversiones Activos No Corrientes (Inmovilizado) y se determinen los Años de Vida Útil (Amortización) de las mismas (en las celdas de la columna I, revisar los años y aplicar los adecuados según cada proyecto), aparecerá en la fila 32 el gasto correspondiente a la Cuota de Amortización Anual (Dotación Amortizaciones) de las Inversiones  que tengan una vida finita.</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Cuando en la </a:t>
          </a:r>
          <a:r>
            <a:rPr lang="es-ES" sz="900" b="1" i="0" u="none" strike="noStrike" baseline="0">
              <a:solidFill>
                <a:srgbClr val="000000"/>
              </a:solidFill>
              <a:latin typeface="+mn-lt"/>
              <a:cs typeface="Aparajita" panose="020B0604020202020204" pitchFamily="34" charset="0"/>
            </a:rPr>
            <a:t>hoja 7</a:t>
          </a:r>
          <a:r>
            <a:rPr lang="es-ES" sz="900" b="0" i="0" u="none" strike="noStrike" baseline="0">
              <a:solidFill>
                <a:srgbClr val="000000"/>
              </a:solidFill>
              <a:latin typeface="+mn-lt"/>
              <a:cs typeface="Aparajita" panose="020B0604020202020204" pitchFamily="34" charset="0"/>
            </a:rPr>
            <a:t> se determine como Forma de Financiación: Préstamo Financiero-Crowdlending (P) o PréstamoParticipativo (PP), o cuando en la </a:t>
          </a:r>
          <a:r>
            <a:rPr lang="es-ES" sz="900" b="1" i="0" u="none" strike="noStrike" baseline="0">
              <a:solidFill>
                <a:srgbClr val="000000"/>
              </a:solidFill>
              <a:latin typeface="+mn-lt"/>
              <a:cs typeface="Aparajita" panose="020B0604020202020204" pitchFamily="34" charset="0"/>
            </a:rPr>
            <a:t>hoja 2</a:t>
          </a:r>
          <a:r>
            <a:rPr lang="es-ES" sz="900" b="0" i="0" u="none" strike="noStrike" baseline="0">
              <a:solidFill>
                <a:srgbClr val="000000"/>
              </a:solidFill>
              <a:latin typeface="+mn-lt"/>
              <a:cs typeface="Aparajita" panose="020B0604020202020204" pitchFamily="34" charset="0"/>
            </a:rPr>
            <a:t>  (celda C79) se estime como medio de cobro la tarjeta de crédito, pay-pal u otro sistema similar, aparecerá en la fila 35 el Gasto Financiero por dichas operaciones.</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La revisión-modificación de las características de las Formas de Financiación se debe realizar cambiando los datos de las celdas verdes de las columnas correspondientes: para la Financiaicón que se solicite al Inicio (celdas comprendidas entre columna Q y U), para la que se solicite a lo largo del 1º ejercicio (celdas entre las columnas Ad y AH) y para la que se solicite a lo largo del 2º ejercicio (las comprendidas entre columnas AO y AS).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Además, hay que tener en cuenta que:</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En las celdas de las filas en que sólo están pintadas en verde lima las de la columna C (1º ejercicio), si se inserta el importe mensual de los gastos fijos (o de estructura) previstos en la misma, se copiará dicho importe en los 11 siguientes meses de ese ejericicio.</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En las celdas en las que además de estar pintada en verde lima la celda de la columna C están también pintadas en este mismo color las del resto de esa fila, se puede introducir el importe del gasto fijo (o de estructura) previsto en la celda del/los mes/es que corresponda.</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El importe del Beneficio Neto (L43) (1º ejercicio), se calculará por la diferencia entre las celdas C43 (Beneficio Bruto = celda N41)  y la celda H43 (Provisión Impuesto S/ Beneficios, que se obtiene al aplicar a la celda C43 el porcentaje reflejado en la celda B15 de la </a:t>
          </a:r>
          <a:r>
            <a:rPr lang="es-ES" sz="900" b="1" i="0" u="none" strike="noStrike" baseline="0">
              <a:solidFill>
                <a:srgbClr val="000000"/>
              </a:solidFill>
              <a:latin typeface="+mn-lt"/>
              <a:cs typeface="Aparajita" panose="020B0604020202020204" pitchFamily="34" charset="0"/>
            </a:rPr>
            <a:t>hoja</a:t>
          </a:r>
          <a:r>
            <a:rPr lang="es-ES" sz="900" b="0" i="0" u="none" strike="noStrike" baseline="0">
              <a:solidFill>
                <a:srgbClr val="000000"/>
              </a:solidFill>
              <a:latin typeface="+mn-lt"/>
              <a:cs typeface="Aparajita" panose="020B0604020202020204" pitchFamily="34" charset="0"/>
            </a:rPr>
            <a:t> </a:t>
          </a:r>
          <a:r>
            <a:rPr lang="es-ES" sz="900" b="1" i="0" u="none" strike="noStrike" baseline="0">
              <a:solidFill>
                <a:srgbClr val="000000"/>
              </a:solidFill>
              <a:latin typeface="+mn-lt"/>
              <a:cs typeface="Aparajita" panose="020B0604020202020204" pitchFamily="34" charset="0"/>
            </a:rPr>
            <a:t>1 </a:t>
          </a:r>
          <a:r>
            <a:rPr lang="es-ES" sz="900" b="0" i="0" u="none" strike="noStrike" baseline="0">
              <a:solidFill>
                <a:srgbClr val="000000"/>
              </a:solidFill>
              <a:latin typeface="+mn-lt"/>
              <a:cs typeface="Aparajita" panose="020B0604020202020204" pitchFamily="34" charset="0"/>
            </a:rPr>
            <a:t>(Tipo Impositivo Medio).</a:t>
          </a:r>
        </a:p>
        <a:p>
          <a:pPr algn="l" rtl="0">
            <a:lnSpc>
              <a:spcPct val="100000"/>
            </a:lnSpc>
            <a:spcBef>
              <a:spcPts val="0"/>
            </a:spcBef>
            <a:spcAft>
              <a:spcPts val="0"/>
            </a:spcAft>
            <a:defRPr sz="1000"/>
          </a:pPr>
          <a:r>
            <a:rPr lang="es-ES" sz="900" b="0" i="0" u="none" strike="noStrike" baseline="0">
              <a:solidFill>
                <a:srgbClr val="000000"/>
              </a:solidFill>
              <a:latin typeface="+mn-lt"/>
              <a:cs typeface="Aparajita"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s-ES" sz="800">
              <a:solidFill>
                <a:schemeClr val="dk1"/>
              </a:solidFill>
              <a:effectLst/>
              <a:latin typeface="+mn-lt"/>
              <a:ea typeface="+mn-ea"/>
              <a:cs typeface="Aparajita" panose="020B0604020202020204" pitchFamily="34" charset="0"/>
              <a:sym typeface="Marlett" pitchFamily="2" charset="2"/>
            </a:rPr>
            <a:t></a:t>
          </a:r>
          <a:r>
            <a:rPr lang="es-ES" sz="800" u="sng">
              <a:solidFill>
                <a:schemeClr val="dk1"/>
              </a:solidFill>
              <a:effectLst/>
              <a:latin typeface="+mn-lt"/>
              <a:ea typeface="+mn-ea"/>
              <a:cs typeface="Aparajita" panose="020B0604020202020204" pitchFamily="34" charset="0"/>
            </a:rPr>
            <a:t>ADVERTENCIAS</a:t>
          </a:r>
          <a:r>
            <a:rPr lang="es-ES" sz="800">
              <a:solidFill>
                <a:schemeClr val="dk1"/>
              </a:solidFill>
              <a:effectLst/>
              <a:latin typeface="+mn-lt"/>
              <a:ea typeface="+mn-ea"/>
              <a:cs typeface="Aparajita" panose="020B0604020202020204" pitchFamily="34" charset="0"/>
            </a:rPr>
            <a:t> </a:t>
          </a:r>
          <a:r>
            <a:rPr lang="es-ES" sz="800">
              <a:solidFill>
                <a:schemeClr val="dk1"/>
              </a:solidFill>
              <a:effectLst/>
              <a:latin typeface="+mn-lt"/>
              <a:ea typeface="+mn-ea"/>
              <a:cs typeface="Aparajita" panose="020B0604020202020204" pitchFamily="34" charset="0"/>
              <a:sym typeface="Marlett" pitchFamily="2" charset="2"/>
            </a:rPr>
            <a:t></a:t>
          </a:r>
        </a:p>
        <a:p>
          <a:pPr algn="l" rtl="0">
            <a:lnSpc>
              <a:spcPct val="100000"/>
            </a:lnSpc>
            <a:spcBef>
              <a:spcPts val="0"/>
            </a:spcBef>
            <a:spcAft>
              <a:spcPts val="0"/>
            </a:spcAft>
            <a:defRPr sz="1000"/>
          </a:pPr>
          <a:endParaRPr lang="es-ES" sz="800" b="0" i="0" u="none" strike="noStrike" baseline="0">
            <a:solidFill>
              <a:srgbClr val="000000"/>
            </a:solidFill>
            <a:latin typeface="+mn-lt"/>
            <a:cs typeface="Aparajita" panose="020B0604020202020204" pitchFamily="34" charset="0"/>
          </a:endParaRP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Los datos reflejados en esta </a:t>
          </a:r>
          <a:r>
            <a:rPr lang="es-ES" sz="800" b="0" i="1" u="none" strike="noStrike" baseline="0">
              <a:solidFill>
                <a:srgbClr val="000000"/>
              </a:solidFill>
              <a:latin typeface="+mn-lt"/>
              <a:cs typeface="Aparajita" panose="020B0604020202020204" pitchFamily="34" charset="0"/>
            </a:rPr>
            <a:t>cuenta de P y G, o cuenta de resultados </a:t>
          </a:r>
          <a:r>
            <a:rPr lang="es-ES" sz="800" b="0" i="0" u="none" strike="noStrike" baseline="0">
              <a:solidFill>
                <a:srgbClr val="000000"/>
              </a:solidFill>
              <a:latin typeface="+mn-lt"/>
              <a:cs typeface="Aparajita" panose="020B0604020202020204" pitchFamily="34" charset="0"/>
            </a:rPr>
            <a:t>(</a:t>
          </a:r>
          <a:r>
            <a:rPr lang="es-ES" sz="800" b="1" i="0" u="none" strike="noStrike" baseline="0">
              <a:solidFill>
                <a:srgbClr val="000000"/>
              </a:solidFill>
              <a:latin typeface="+mn-lt"/>
              <a:cs typeface="Aparajita" panose="020B0604020202020204" pitchFamily="34" charset="0"/>
            </a:rPr>
            <a:t>hoja 6</a:t>
          </a:r>
          <a:r>
            <a:rPr lang="es-ES" sz="800" b="0" i="0" u="none" strike="noStrike" baseline="0">
              <a:solidFill>
                <a:srgbClr val="000000"/>
              </a:solidFill>
              <a:latin typeface="+mn-lt"/>
              <a:cs typeface="Aparajita" panose="020B0604020202020204" pitchFamily="34" charset="0"/>
            </a:rPr>
            <a:t>)</a:t>
          </a:r>
          <a:r>
            <a:rPr lang="es-ES" sz="800" b="1" i="0" u="none" strike="noStrike" baseline="0">
              <a:solidFill>
                <a:srgbClr val="000000"/>
              </a:solidFill>
              <a:latin typeface="+mn-lt"/>
              <a:cs typeface="Aparajita" panose="020B0604020202020204" pitchFamily="34" charset="0"/>
            </a:rPr>
            <a:t> </a:t>
          </a:r>
          <a:r>
            <a:rPr lang="es-ES" sz="800" b="0" i="0" u="none" strike="noStrike" baseline="0">
              <a:solidFill>
                <a:srgbClr val="000000"/>
              </a:solidFill>
              <a:latin typeface="+mn-lt"/>
              <a:cs typeface="Aparajita" panose="020B0604020202020204" pitchFamily="34" charset="0"/>
            </a:rPr>
            <a:t>son previsiones de </a:t>
          </a:r>
          <a:r>
            <a:rPr lang="es-ES" sz="800" b="0" i="1" u="none" strike="noStrike" baseline="0">
              <a:solidFill>
                <a:srgbClr val="000000"/>
              </a:solidFill>
              <a:latin typeface="+mn-lt"/>
              <a:cs typeface="Aparajita" panose="020B0604020202020204" pitchFamily="34" charset="0"/>
            </a:rPr>
            <a:t>gastos a  consumir e ingresos a obtener </a:t>
          </a:r>
          <a:r>
            <a:rPr lang="es-ES" sz="800" b="0" i="0" u="none" strike="noStrike" baseline="0">
              <a:solidFill>
                <a:srgbClr val="000000"/>
              </a:solidFill>
              <a:latin typeface="+mn-lt"/>
              <a:cs typeface="Aparajita" panose="020B0604020202020204" pitchFamily="34" charset="0"/>
            </a:rPr>
            <a:t>en el/los ejercicio/s económico/s en cuestión, y por lo tanto hay que introducirlos sin IVA, excepto para las empresas exentas del mismo.</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No todos los gastos e ingresos de un ejercicio económico (reflejados en esta </a:t>
          </a:r>
          <a:r>
            <a:rPr lang="es-ES" sz="800" b="1" i="0" u="none" strike="noStrike" baseline="0">
              <a:solidFill>
                <a:srgbClr val="000000"/>
              </a:solidFill>
              <a:latin typeface="+mn-lt"/>
              <a:cs typeface="Aparajita" panose="020B0604020202020204" pitchFamily="34" charset="0"/>
            </a:rPr>
            <a:t>hoja 6</a:t>
          </a:r>
          <a:r>
            <a:rPr lang="es-ES" sz="800" b="0" i="0" u="none" strike="noStrike" baseline="0">
              <a:solidFill>
                <a:srgbClr val="000000"/>
              </a:solidFill>
              <a:latin typeface="+mn-lt"/>
              <a:cs typeface="Aparajita" panose="020B0604020202020204" pitchFamily="34" charset="0"/>
            </a:rPr>
            <a:t>) se convertirán en pagos y cobros de ese ejercicio económico (a reflejar en la </a:t>
          </a:r>
          <a:r>
            <a:rPr lang="es-ES" sz="800" b="1" i="0" u="none" strike="noStrike" baseline="0">
              <a:solidFill>
                <a:srgbClr val="000000"/>
              </a:solidFill>
              <a:latin typeface="+mn-lt"/>
              <a:cs typeface="Aparajita" panose="020B0604020202020204" pitchFamily="34" charset="0"/>
            </a:rPr>
            <a:t>hoja  8</a:t>
          </a:r>
          <a:r>
            <a:rPr lang="es-ES" sz="800" b="0" i="0" u="none" strike="noStrike" baseline="0">
              <a:solidFill>
                <a:srgbClr val="000000"/>
              </a:solidFill>
              <a:latin typeface="+mn-lt"/>
              <a:cs typeface="Aparajita" panose="020B0604020202020204" pitchFamily="34" charset="0"/>
            </a:rPr>
            <a:t>), y viceversa.</a:t>
          </a:r>
        </a:p>
        <a:p>
          <a:pPr algn="l" rtl="0">
            <a:lnSpc>
              <a:spcPct val="100000"/>
            </a:lnSpc>
            <a:spcBef>
              <a:spcPts val="0"/>
            </a:spcBef>
            <a:spcAft>
              <a:spcPts val="0"/>
            </a:spcAft>
            <a:defRPr sz="1000"/>
          </a:pPr>
          <a:endParaRPr lang="es-ES" sz="800" b="0" i="0" u="none" strike="noStrike" baseline="0">
            <a:solidFill>
              <a:srgbClr val="000000"/>
            </a:solidFill>
            <a:latin typeface="+mn-lt"/>
            <a:cs typeface="Aparajita" panose="020B0604020202020204" pitchFamily="34" charset="0"/>
          </a:endParaRP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Por ejemplo: la Dotación Amortizaciones, sólo aparece reflejada como gasto (fila 32, </a:t>
          </a:r>
          <a:r>
            <a:rPr lang="es-ES" sz="800" b="1" i="0" u="none" strike="noStrike" baseline="0">
              <a:solidFill>
                <a:srgbClr val="000000"/>
              </a:solidFill>
              <a:latin typeface="+mn-lt"/>
              <a:cs typeface="Aparajita" panose="020B0604020202020204" pitchFamily="34" charset="0"/>
            </a:rPr>
            <a:t>hoja  6)</a:t>
          </a:r>
          <a:r>
            <a:rPr lang="es-ES" sz="800" b="0" i="0" u="none" strike="noStrike" baseline="0">
              <a:solidFill>
                <a:srgbClr val="000000"/>
              </a:solidFill>
              <a:latin typeface="+mn-lt"/>
              <a:cs typeface="Aparajita" panose="020B0604020202020204" pitchFamily="34" charset="0"/>
            </a:rPr>
            <a:t>, pero no como pago (no aparece en la </a:t>
          </a:r>
          <a:r>
            <a:rPr lang="es-ES" sz="800" b="1" i="0" u="none" strike="noStrike" baseline="0">
              <a:solidFill>
                <a:srgbClr val="000000"/>
              </a:solidFill>
              <a:latin typeface="+mn-lt"/>
              <a:cs typeface="Aparajita" panose="020B0604020202020204" pitchFamily="34" charset="0"/>
            </a:rPr>
            <a:t>hoja  8</a:t>
          </a:r>
          <a:r>
            <a:rPr lang="es-ES" sz="800" b="0" i="0" u="none" strike="noStrike" baseline="0">
              <a:solidFill>
                <a:srgbClr val="000000"/>
              </a:solidFill>
              <a:latin typeface="+mn-lt"/>
              <a:cs typeface="Aparajita" panose="020B0604020202020204" pitchFamily="34" charset="0"/>
            </a:rPr>
            <a:t>); la Devolución del Capital de los Préstamos, sólo aparece como pago (fila 40, </a:t>
          </a:r>
          <a:r>
            <a:rPr lang="es-ES" sz="800" b="1" i="0" u="none" strike="noStrike" baseline="0">
              <a:solidFill>
                <a:srgbClr val="000000"/>
              </a:solidFill>
              <a:latin typeface="+mn-lt"/>
              <a:cs typeface="Aparajita" panose="020B0604020202020204" pitchFamily="34" charset="0"/>
            </a:rPr>
            <a:t>hoja 8</a:t>
          </a:r>
          <a:r>
            <a:rPr lang="es-ES" sz="800" b="0" i="0" u="none" strike="noStrike" baseline="0">
              <a:solidFill>
                <a:srgbClr val="000000"/>
              </a:solidFill>
              <a:latin typeface="+mn-lt"/>
              <a:cs typeface="Aparajita" panose="020B0604020202020204" pitchFamily="34" charset="0"/>
            </a:rPr>
            <a:t>), pero no como gasto (no aparece en esta </a:t>
          </a:r>
          <a:r>
            <a:rPr lang="es-ES" sz="800" b="1" i="0" u="none" strike="noStrike" baseline="0">
              <a:solidFill>
                <a:srgbClr val="000000"/>
              </a:solidFill>
              <a:latin typeface="+mn-lt"/>
              <a:cs typeface="Aparajita" panose="020B0604020202020204" pitchFamily="34" charset="0"/>
            </a:rPr>
            <a:t>hoja  6</a:t>
          </a:r>
          <a:r>
            <a:rPr lang="es-ES" sz="800" b="0" i="0" u="none" strike="noStrike" baseline="0">
              <a:solidFill>
                <a:srgbClr val="000000"/>
              </a:solidFill>
              <a:latin typeface="+mn-lt"/>
              <a:cs typeface="Aparajita" panose="020B0604020202020204" pitchFamily="34" charset="0"/>
            </a:rPr>
            <a:t>); el Pago de  Compras  (fila 25, </a:t>
          </a:r>
          <a:r>
            <a:rPr lang="es-ES" sz="800" b="1" i="0" u="none" strike="noStrike" baseline="0">
              <a:solidFill>
                <a:srgbClr val="000000"/>
              </a:solidFill>
              <a:latin typeface="+mn-lt"/>
              <a:cs typeface="Aparajita" panose="020B0604020202020204" pitchFamily="34" charset="0"/>
            </a:rPr>
            <a:t>hoja 3</a:t>
          </a:r>
          <a:r>
            <a:rPr lang="es-ES" sz="800" b="0" i="0" u="none" strike="noStrike" baseline="0">
              <a:solidFill>
                <a:srgbClr val="000000"/>
              </a:solidFill>
              <a:latin typeface="+mn-lt"/>
              <a:cs typeface="Aparajita" panose="020B0604020202020204" pitchFamily="34" charset="0"/>
            </a:rPr>
            <a:t>), aparece como pago (fila 19, </a:t>
          </a:r>
          <a:r>
            <a:rPr lang="es-ES" sz="800" b="1" i="0" u="none" strike="noStrike" baseline="0">
              <a:solidFill>
                <a:srgbClr val="000000"/>
              </a:solidFill>
              <a:latin typeface="+mn-lt"/>
              <a:cs typeface="Aparajita" panose="020B0604020202020204" pitchFamily="34" charset="0"/>
            </a:rPr>
            <a:t>hoja  8</a:t>
          </a:r>
          <a:r>
            <a:rPr lang="es-ES" sz="800" b="0" i="0" u="none" strike="noStrike" baseline="0">
              <a:solidFill>
                <a:srgbClr val="000000"/>
              </a:solidFill>
              <a:latin typeface="+mn-lt"/>
              <a:cs typeface="Aparajita" panose="020B0604020202020204" pitchFamily="34" charset="0"/>
            </a:rPr>
            <a:t>), pero sólo aparecen como Gasto las Compras consumidas en ese periodo, que son las que forman parte del Coste de Ventas (fila 12, </a:t>
          </a:r>
          <a:r>
            <a:rPr lang="es-ES" sz="800" b="1" i="0" u="none" strike="noStrike" baseline="0">
              <a:solidFill>
                <a:srgbClr val="000000"/>
              </a:solidFill>
              <a:latin typeface="+mn-lt"/>
              <a:cs typeface="Aparajita" panose="020B0604020202020204" pitchFamily="34" charset="0"/>
            </a:rPr>
            <a:t>hoja  6</a:t>
          </a:r>
          <a:r>
            <a:rPr lang="es-ES" sz="800" b="0" i="0" u="none" strike="noStrike" baseline="0">
              <a:solidFill>
                <a:srgbClr val="000000"/>
              </a:solidFill>
              <a:latin typeface="+mn-lt"/>
              <a:cs typeface="Aparajita" panose="020B0604020202020204" pitchFamily="34" charset="0"/>
            </a:rPr>
            <a:t>).</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La Política de Cobros y Pagos hay que determinarla en las </a:t>
          </a:r>
          <a:r>
            <a:rPr lang="es-ES" sz="800" b="1" i="0" u="none" strike="noStrike" baseline="0">
              <a:solidFill>
                <a:srgbClr val="000000"/>
              </a:solidFill>
              <a:latin typeface="+mn-lt"/>
              <a:cs typeface="Aparajita" panose="020B0604020202020204" pitchFamily="34" charset="0"/>
            </a:rPr>
            <a:t>hojas 2 </a:t>
          </a:r>
          <a:r>
            <a:rPr lang="es-ES" sz="800" b="0" i="0" u="none" strike="noStrike" baseline="0">
              <a:solidFill>
                <a:srgbClr val="000000"/>
              </a:solidFill>
              <a:latin typeface="+mn-lt"/>
              <a:cs typeface="Aparajita" panose="020B0604020202020204" pitchFamily="34" charset="0"/>
            </a:rPr>
            <a:t>y </a:t>
          </a:r>
          <a:r>
            <a:rPr lang="es-ES" sz="800" b="1" i="0" u="none" strike="noStrike" baseline="0">
              <a:solidFill>
                <a:srgbClr val="000000"/>
              </a:solidFill>
              <a:latin typeface="+mn-lt"/>
              <a:cs typeface="Aparajita" panose="020B0604020202020204" pitchFamily="34" charset="0"/>
            </a:rPr>
            <a:t>3  </a:t>
          </a:r>
          <a:r>
            <a:rPr lang="es-ES" sz="800" b="0" i="0" u="none" strike="noStrike" baseline="0">
              <a:solidFill>
                <a:srgbClr val="000000"/>
              </a:solidFill>
              <a:latin typeface="+mn-lt"/>
              <a:cs typeface="Aparajita" panose="020B0604020202020204" pitchFamily="34" charset="0"/>
            </a:rPr>
            <a:t>y sólo va a afectar a la Ventas del Periodo y a las Compras y Otros Costes Variables del Periodo.</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El resto de gastos e ingresos de explotación de la </a:t>
          </a:r>
          <a:r>
            <a:rPr lang="es-ES" sz="800" b="1" i="0" u="none" strike="noStrike" baseline="0">
              <a:solidFill>
                <a:srgbClr val="000000"/>
              </a:solidFill>
              <a:latin typeface="+mn-lt"/>
              <a:cs typeface="Aparajita" panose="020B0604020202020204" pitchFamily="34" charset="0"/>
            </a:rPr>
            <a:t>hoja 6</a:t>
          </a:r>
          <a:r>
            <a:rPr lang="es-ES" sz="800" b="0" i="0" u="none" strike="noStrike" baseline="0">
              <a:solidFill>
                <a:srgbClr val="000000"/>
              </a:solidFill>
              <a:latin typeface="+mn-lt"/>
              <a:cs typeface="Aparajita" panose="020B0604020202020204" pitchFamily="34" charset="0"/>
            </a:rPr>
            <a:t> se considerarán que se pagan y cobran mensualmente en la </a:t>
          </a:r>
          <a:r>
            <a:rPr lang="es-ES" sz="800" b="1" i="0" u="none" strike="noStrike" baseline="0">
              <a:solidFill>
                <a:srgbClr val="000000"/>
              </a:solidFill>
              <a:latin typeface="+mn-lt"/>
              <a:cs typeface="Aparajita" panose="020B0604020202020204" pitchFamily="34" charset="0"/>
            </a:rPr>
            <a:t>hoja  8,</a:t>
          </a:r>
          <a:r>
            <a:rPr lang="es-ES" sz="800" b="0" i="0" u="none" strike="noStrike" baseline="0">
              <a:solidFill>
                <a:srgbClr val="000000"/>
              </a:solidFill>
              <a:latin typeface="+mn-lt"/>
              <a:cs typeface="Aparajita" panose="020B0604020202020204" pitchFamily="34" charset="0"/>
            </a:rPr>
            <a:t> excepto los Tributos y Tasas, Publicidad y Propaganda, Primas de Seguros y Otros Servicios cuyo momento del plazo que se refleja en la </a:t>
          </a:r>
          <a:r>
            <a:rPr lang="es-ES" sz="800" b="1" i="0" u="none" strike="noStrike" baseline="0">
              <a:solidFill>
                <a:srgbClr val="000000"/>
              </a:solidFill>
              <a:latin typeface="+mn-lt"/>
              <a:cs typeface="Aparajita" panose="020B0604020202020204" pitchFamily="34" charset="0"/>
            </a:rPr>
            <a:t>hoja 8</a:t>
          </a:r>
          <a:r>
            <a:rPr lang="es-ES" sz="800" b="0" i="0" u="none" strike="noStrike" baseline="0">
              <a:solidFill>
                <a:srgbClr val="000000"/>
              </a:solidFill>
              <a:latin typeface="+mn-lt"/>
              <a:cs typeface="Aparajita" panose="020B0604020202020204" pitchFamily="34" charset="0"/>
            </a:rPr>
            <a:t> coincidirá en el mismo mes que se ha reflejado en la </a:t>
          </a:r>
          <a:r>
            <a:rPr lang="es-ES" sz="800" b="1" i="0" u="none" strike="noStrike" baseline="0">
              <a:solidFill>
                <a:srgbClr val="000000"/>
              </a:solidFill>
              <a:latin typeface="+mn-lt"/>
              <a:cs typeface="Aparajita" panose="020B0604020202020204" pitchFamily="34" charset="0"/>
            </a:rPr>
            <a:t>hoja 6</a:t>
          </a:r>
          <a:r>
            <a:rPr lang="es-ES" sz="8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La </a:t>
          </a:r>
          <a:r>
            <a:rPr lang="es-ES" sz="800" b="0" i="1" u="none" strike="noStrike" baseline="0">
              <a:solidFill>
                <a:srgbClr val="000000"/>
              </a:solidFill>
              <a:latin typeface="+mn-lt"/>
              <a:cs typeface="Aparajita" panose="020B0604020202020204" pitchFamily="34" charset="0"/>
            </a:rPr>
            <a:t>rentabilidad </a:t>
          </a:r>
          <a:r>
            <a:rPr lang="es-ES" sz="800" b="0" i="0" u="none" strike="noStrike" baseline="0">
              <a:solidFill>
                <a:srgbClr val="000000"/>
              </a:solidFill>
              <a:latin typeface="+mn-lt"/>
              <a:cs typeface="Aparajita" panose="020B0604020202020204" pitchFamily="34" charset="0"/>
            </a:rPr>
            <a:t>prevista para cada ejercicio económico vendrá determinada por el resultado del Beneficio Neto.</a:t>
          </a:r>
        </a:p>
        <a:p>
          <a:pPr algn="l" rtl="0">
            <a:lnSpc>
              <a:spcPct val="100000"/>
            </a:lnSpc>
            <a:spcBef>
              <a:spcPts val="0"/>
            </a:spcBef>
            <a:spcAft>
              <a:spcPts val="0"/>
            </a:spcAft>
            <a:defRPr sz="1000"/>
          </a:pPr>
          <a:endParaRPr lang="es-ES" sz="800" b="0" i="0" u="none" strike="noStrike" baseline="0">
            <a:solidFill>
              <a:srgbClr val="000000"/>
            </a:solidFill>
            <a:latin typeface="+mn-lt"/>
            <a:cs typeface="Aparajita" panose="020B0604020202020204" pitchFamily="34" charset="0"/>
          </a:endParaRP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Si en algunos de los ejercicios dicho beneficio es negativo, ese ejercicio económico no será rentable puesto que tendrá pérdidas.</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 Para mejorar dicho resultado, habrá que ver si se puede actuar de alguna de las siguientes maneras:</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a. Incrementando las Ventas (aumentando los precios de venta y/o las cantidades a vender, o aplicando las dos políticas).</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b. Disminuyendo los Costes Directos Variables (comprando a precios más baratos, subcontratando parte de la producción, etc.).</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c. Disminuyendo los Gastos Fijos (reduciéndolos todo lo que se pueda).</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Conocer el Punto de Equilibrio o Umbral de Rentabilidad es fundamental en el proceso de toma de decisiones.</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 Si una vez completada la </a:t>
          </a:r>
          <a:r>
            <a:rPr lang="es-ES" sz="800" b="1" i="0" u="none" strike="noStrike" baseline="0">
              <a:solidFill>
                <a:srgbClr val="000000"/>
              </a:solidFill>
              <a:latin typeface="+mn-lt"/>
              <a:cs typeface="Aparajita" panose="020B0604020202020204" pitchFamily="34" charset="0"/>
            </a:rPr>
            <a:t>hoja 6 </a:t>
          </a:r>
          <a:r>
            <a:rPr lang="es-ES" sz="800" b="0" i="0" u="none" strike="noStrike" baseline="0">
              <a:solidFill>
                <a:srgbClr val="000000"/>
              </a:solidFill>
              <a:latin typeface="+mn-lt"/>
              <a:cs typeface="Aparajita" panose="020B0604020202020204" pitchFamily="34" charset="0"/>
            </a:rPr>
            <a:t>y </a:t>
          </a:r>
          <a:r>
            <a:rPr lang="es-ES" sz="800" b="1" i="0" u="none" strike="noStrike" baseline="0">
              <a:solidFill>
                <a:srgbClr val="000000"/>
              </a:solidFill>
              <a:latin typeface="+mn-lt"/>
              <a:cs typeface="Aparajita" panose="020B0604020202020204" pitchFamily="34" charset="0"/>
            </a:rPr>
            <a:t>hoja 7</a:t>
          </a:r>
          <a:r>
            <a:rPr lang="es-ES" sz="800" b="0" i="0" u="none" strike="noStrike" baseline="0">
              <a:solidFill>
                <a:srgbClr val="000000"/>
              </a:solidFill>
              <a:latin typeface="+mn-lt"/>
              <a:cs typeface="Aparajita" panose="020B0604020202020204" pitchFamily="34" charset="0"/>
            </a:rPr>
            <a:t> se desea conocer dicho indicador y el Beneficio Bruto (celda C43) obtenido es negativo, habrá que ver si se puede modificar alguno de los siguientes datos previamente establecidos en las celdas de las </a:t>
          </a:r>
          <a:r>
            <a:rPr lang="es-ES" sz="800" b="1" i="0" u="none" strike="noStrike" baseline="0">
              <a:solidFill>
                <a:srgbClr val="000000"/>
              </a:solidFill>
              <a:latin typeface="+mn-lt"/>
              <a:cs typeface="Aparajita" panose="020B0604020202020204" pitchFamily="34" charset="0"/>
            </a:rPr>
            <a:t>hojas</a:t>
          </a:r>
          <a:r>
            <a:rPr lang="es-ES" sz="800" b="0" i="0" u="none" strike="noStrike" baseline="0">
              <a:solidFill>
                <a:srgbClr val="000000"/>
              </a:solidFill>
              <a:latin typeface="+mn-lt"/>
              <a:cs typeface="Aparajita" panose="020B0604020202020204" pitchFamily="34" charset="0"/>
            </a:rPr>
            <a:t> </a:t>
          </a:r>
          <a:r>
            <a:rPr lang="es-ES" sz="800" b="1" i="0" u="none" strike="noStrike" baseline="0">
              <a:solidFill>
                <a:srgbClr val="000000"/>
              </a:solidFill>
              <a:latin typeface="+mn-lt"/>
              <a:cs typeface="Aparajita" panose="020B0604020202020204" pitchFamily="34" charset="0"/>
            </a:rPr>
            <a:t> 1, 2, 3, 4, 5 </a:t>
          </a:r>
          <a:r>
            <a:rPr lang="es-ES" sz="800" b="0" i="0" u="none" strike="noStrike" baseline="0">
              <a:solidFill>
                <a:srgbClr val="000000"/>
              </a:solidFill>
              <a:latin typeface="+mn-lt"/>
              <a:cs typeface="Aparajita" panose="020B0604020202020204" pitchFamily="34" charset="0"/>
            </a:rPr>
            <a:t>y/o </a:t>
          </a:r>
          <a:r>
            <a:rPr lang="es-ES" sz="800" b="1" i="0" u="none" strike="noStrike" baseline="0">
              <a:solidFill>
                <a:srgbClr val="000000"/>
              </a:solidFill>
              <a:latin typeface="+mn-lt"/>
              <a:cs typeface="Aparajita" panose="020B0604020202020204" pitchFamily="34" charset="0"/>
            </a:rPr>
            <a:t>6</a:t>
          </a:r>
          <a:r>
            <a:rPr lang="es-ES" sz="800" b="0" i="0" u="none" strike="noStrike" baseline="0">
              <a:solidFill>
                <a:srgbClr val="000000"/>
              </a:solidFill>
              <a:latin typeface="+mn-lt"/>
              <a:cs typeface="Aparajita" panose="020B0604020202020204" pitchFamily="34" charset="0"/>
            </a:rPr>
            <a:t>: Precios de Venta, Precios de Coste D. Variable, Porcentajes sobre Otros Costes Variables y/o Gastos Fijos (siempre y cuando se consideres que las condiciones del mercado y de la competencia lo permitan), a base de tanteo, e ir variando los importes de las filas Unidades a vender (</a:t>
          </a:r>
          <a:r>
            <a:rPr lang="es-ES" sz="800" b="1" i="0" u="none" strike="noStrike" baseline="0">
              <a:solidFill>
                <a:srgbClr val="000000"/>
              </a:solidFill>
              <a:latin typeface="+mn-lt"/>
              <a:cs typeface="Aparajita" panose="020B0604020202020204" pitchFamily="34" charset="0"/>
            </a:rPr>
            <a:t>hoja 2</a:t>
          </a:r>
          <a:r>
            <a:rPr lang="es-ES" sz="800" b="0" i="0" u="none" strike="noStrike" baseline="0">
              <a:solidFill>
                <a:srgbClr val="000000"/>
              </a:solidFill>
              <a:latin typeface="+mn-lt"/>
              <a:cs typeface="Aparajita" panose="020B0604020202020204" pitchFamily="34" charset="0"/>
            </a:rPr>
            <a:t>), hasta que el importe de la celda P25 sea igual, o esté un poco por encima, al importe de la celda P29 (para el 1º ejercicio).</a:t>
          </a:r>
        </a:p>
        <a:p>
          <a:pPr algn="l" rtl="0">
            <a:lnSpc>
              <a:spcPct val="100000"/>
            </a:lnSpc>
            <a:spcBef>
              <a:spcPts val="0"/>
            </a:spcBef>
            <a:spcAft>
              <a:spcPts val="0"/>
            </a:spcAft>
            <a:defRPr sz="1000"/>
          </a:pPr>
          <a:endParaRPr lang="es-ES" sz="800" b="0" i="0" u="none" strike="noStrike" baseline="0">
            <a:solidFill>
              <a:srgbClr val="000000"/>
            </a:solidFill>
            <a:latin typeface="+mn-lt"/>
            <a:cs typeface="Aparajita" panose="020B0604020202020204" pitchFamily="34" charset="0"/>
          </a:endParaRP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Obtenido el Punto de Equilibrio para el primer ejercicio económico, hay que analizar si el proyecto en cuestión es capaz de alcanzarlo o no.</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Si según los estudios del Plan de Marketing se prevé que las ventas del primer ejercicio no llegan a alcanzar dicho Umbral de Rentabilidad, habrá que dejar reflejadas en el cuadro de Presupuesto de Ventas de la </a:t>
          </a:r>
          <a:r>
            <a:rPr lang="es-ES" sz="800" b="1" i="0" u="none" strike="noStrike" baseline="0">
              <a:solidFill>
                <a:srgbClr val="000000"/>
              </a:solidFill>
              <a:latin typeface="+mn-lt"/>
              <a:cs typeface="Aparajita" panose="020B0604020202020204" pitchFamily="34" charset="0"/>
            </a:rPr>
            <a:t>hoja 2</a:t>
          </a:r>
          <a:r>
            <a:rPr lang="es-ES" sz="800" b="0" i="0" u="none" strike="noStrike" baseline="0">
              <a:solidFill>
                <a:srgbClr val="000000"/>
              </a:solidFill>
              <a:latin typeface="+mn-lt"/>
              <a:cs typeface="Aparajita" panose="020B0604020202020204" pitchFamily="34" charset="0"/>
            </a:rPr>
            <a:t> las previsiones de ventas que sí se consideren alcanzables aunque el resultado siga siendo negativo. Y, a partir de ahí, seguir desarrollando el "PF", hasta llegar a confeccionar el siguiente estado financiero: </a:t>
          </a:r>
          <a:r>
            <a:rPr lang="es-ES" sz="800" b="0" i="1" u="none" strike="noStrike" baseline="0">
              <a:solidFill>
                <a:srgbClr val="000000"/>
              </a:solidFill>
              <a:latin typeface="+mn-lt"/>
              <a:cs typeface="Aparajita" panose="020B0604020202020204" pitchFamily="34" charset="0"/>
            </a:rPr>
            <a:t>plan de tesorería </a:t>
          </a:r>
          <a:r>
            <a:rPr lang="es-ES" sz="800" b="0" i="0" u="none" strike="noStrike" baseline="0">
              <a:solidFill>
                <a:srgbClr val="000000"/>
              </a:solidFill>
              <a:latin typeface="+mn-lt"/>
              <a:cs typeface="Aparajita" panose="020B0604020202020204" pitchFamily="34" charset="0"/>
            </a:rPr>
            <a:t>del primer ejercicio económico (</a:t>
          </a:r>
          <a:r>
            <a:rPr lang="es-ES" sz="800" b="1" i="0" u="none" strike="noStrike" baseline="0">
              <a:solidFill>
                <a:srgbClr val="000000"/>
              </a:solidFill>
              <a:latin typeface="+mn-lt"/>
              <a:cs typeface="Aparajita" panose="020B0604020202020204" pitchFamily="34" charset="0"/>
            </a:rPr>
            <a:t>hoja 8</a:t>
          </a:r>
          <a:r>
            <a:rPr lang="es-ES" sz="800" b="0" i="0" u="none" strike="noStrike" baseline="0">
              <a:solidFill>
                <a:srgbClr val="000000"/>
              </a:solidFill>
              <a:latin typeface="+mn-lt"/>
              <a:cs typeface="Aparajita" panose="020B0604020202020204" pitchFamily="34" charset="0"/>
            </a:rPr>
            <a:t>), donde se averiguará si el proyecto tiene o no suficiente liquidez para sobrevivir durante el primer ejercicio económico.</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Debajo de la </a:t>
          </a:r>
          <a:r>
            <a:rPr lang="es-ES" sz="800" b="0" i="1" u="none" strike="noStrike" baseline="0">
              <a:solidFill>
                <a:srgbClr val="000000"/>
              </a:solidFill>
              <a:latin typeface="+mn-lt"/>
              <a:cs typeface="Aparajita" panose="020B0604020202020204" pitchFamily="34" charset="0"/>
            </a:rPr>
            <a:t>cuenta de pérdidas y ganancias</a:t>
          </a:r>
          <a:r>
            <a:rPr lang="es-ES" sz="800" b="0" i="0" u="none" strike="noStrike" baseline="0">
              <a:solidFill>
                <a:srgbClr val="000000"/>
              </a:solidFill>
              <a:latin typeface="+mn-lt"/>
              <a:cs typeface="Aparajita" panose="020B0604020202020204" pitchFamily="34" charset="0"/>
            </a:rPr>
            <a:t> hay un cuadro auxiliar (celdas AC 49 - 57), que puede ser útil para aquellas empresas de servicios cuyos resultados dependan de la productividad de la mano de obra.</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.Acabando de rellenar los datos de este cuadro, se puede obtener un importe aproximado de Coste Fijo (o de Estructura) por Hora de Trabajo Productivo (celda C57), teniendo en cuenta que, dentro del montante Total Anual de Coste Fijo (o de Estructura) (celda D49), estará incorporada la mano de obra imprescindible para desarrollar la actividad, incluida la del/os emprendedor/es trabajadores.</a:t>
          </a:r>
        </a:p>
        <a:p>
          <a:pPr algn="l" rtl="0">
            <a:lnSpc>
              <a:spcPct val="100000"/>
            </a:lnSpc>
            <a:spcBef>
              <a:spcPts val="0"/>
            </a:spcBef>
            <a:spcAft>
              <a:spcPts val="0"/>
            </a:spcAft>
            <a:defRPr sz="1000"/>
          </a:pPr>
          <a:r>
            <a:rPr lang="es-ES" sz="800" b="0" i="0" u="none" strike="noStrike" baseline="0">
              <a:solidFill>
                <a:srgbClr val="000000"/>
              </a:solidFill>
              <a:latin typeface="+mn-lt"/>
              <a:cs typeface="Aparajita" panose="020B0604020202020204" pitchFamily="34" charset="0"/>
            </a:rPr>
            <a:t> Este cálculo aproximado del Coste Fijo por Hora, puede servir de ayuda para marcar el Precio Mínimo al que debería venderse la Hora de Trabajo de la actividad empresarial.</a:t>
          </a:r>
        </a:p>
        <a:p>
          <a:pPr algn="l" rtl="0">
            <a:lnSpc>
              <a:spcPts val="600"/>
            </a:lnSpc>
            <a:defRPr sz="1000"/>
          </a:pPr>
          <a:r>
            <a:rPr lang="es-ES" sz="900" b="0" i="0" u="none" strike="noStrike" baseline="0">
              <a:solidFill>
                <a:srgbClr val="000000"/>
              </a:solidFill>
              <a:latin typeface="+mn-lt"/>
              <a:cs typeface="Aparajita" panose="020B0604020202020204" pitchFamily="34" charset="0"/>
            </a:rPr>
            <a:t> </a:t>
          </a:r>
        </a:p>
        <a:p>
          <a:pPr algn="l" rtl="0">
            <a:lnSpc>
              <a:spcPts val="400"/>
            </a:lnSpc>
            <a:defRPr sz="1000"/>
          </a:pPr>
          <a:endParaRPr lang="es-ES" sz="900" b="0" i="0" u="none" strike="noStrike" baseline="0">
            <a:solidFill>
              <a:srgbClr val="000000"/>
            </a:solidFill>
            <a:latin typeface="+mn-lt"/>
            <a:cs typeface="Aparajita" panose="020B0604020202020204" pitchFamily="34" charset="0"/>
          </a:endParaRPr>
        </a:p>
      </xdr:txBody>
    </xdr:sp>
    <xdr:clientData/>
  </xdr:twoCellAnchor>
  <xdr:twoCellAnchor>
    <xdr:from>
      <xdr:col>0</xdr:col>
      <xdr:colOff>134936</xdr:colOff>
      <xdr:row>287</xdr:row>
      <xdr:rowOff>126998</xdr:rowOff>
    </xdr:from>
    <xdr:to>
      <xdr:col>3</xdr:col>
      <xdr:colOff>198436</xdr:colOff>
      <xdr:row>347</xdr:row>
      <xdr:rowOff>79375</xdr:rowOff>
    </xdr:to>
    <xdr:sp macro="" textlink="">
      <xdr:nvSpPr>
        <xdr:cNvPr id="17" name="CuadroTexto 16">
          <a:extLst>
            <a:ext uri="{FF2B5EF4-FFF2-40B4-BE49-F238E27FC236}">
              <a16:creationId xmlns:a16="http://schemas.microsoft.com/office/drawing/2014/main" id="{00000000-0008-0000-0200-000011000000}"/>
            </a:ext>
          </a:extLst>
        </xdr:cNvPr>
        <xdr:cNvSpPr txBox="1"/>
      </xdr:nvSpPr>
      <xdr:spPr>
        <a:xfrm>
          <a:off x="134936" y="45672373"/>
          <a:ext cx="7675563" cy="9477377"/>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ct val="100000"/>
            </a:lnSpc>
            <a:spcBef>
              <a:spcPts val="0"/>
            </a:spcBef>
            <a:spcAft>
              <a:spcPts val="0"/>
            </a:spcAft>
            <a:defRPr sz="1000"/>
          </a:pPr>
          <a:r>
            <a:rPr lang="es-ES" sz="900" b="1" i="0" u="none" strike="noStrike" baseline="0">
              <a:solidFill>
                <a:sysClr val="windowText" lastClr="000000"/>
              </a:solidFill>
              <a:latin typeface="+mn-lt"/>
              <a:cs typeface="Aparajita" panose="020B0604020202020204" pitchFamily="34" charset="0"/>
            </a:rPr>
            <a:t>7. Plan Invers - Financ</a:t>
          </a:r>
          <a:r>
            <a:rPr lang="es-ES" sz="900" b="0" i="0" u="none" strike="noStrike" baseline="0">
              <a:solidFill>
                <a:sysClr val="windowText" lastClr="000000"/>
              </a:solidFill>
              <a:latin typeface="+mn-lt"/>
              <a:cs typeface="Aparajita" panose="020B0604020202020204" pitchFamily="34" charset="0"/>
            </a:rPr>
            <a:t> </a:t>
          </a:r>
          <a:r>
            <a:rPr lang="es-ES" sz="900" b="0" i="1" u="none" strike="noStrike" baseline="0">
              <a:solidFill>
                <a:sysClr val="windowText" lastClr="000000"/>
              </a:solidFill>
              <a:latin typeface="+mn-lt"/>
              <a:cs typeface="Aparajita" panose="020B0604020202020204" pitchFamily="34" charset="0"/>
            </a:rPr>
            <a:t>(2 páginas)</a:t>
          </a:r>
        </a:p>
        <a:p>
          <a:pPr algn="l" rtl="0">
            <a:lnSpc>
              <a:spcPct val="100000"/>
            </a:lnSpc>
            <a:spcBef>
              <a:spcPts val="0"/>
            </a:spcBef>
            <a:spcAft>
              <a:spcPts val="0"/>
            </a:spcAft>
            <a:defRPr sz="1000"/>
          </a:pPr>
          <a:endParaRPr lang="es-ES" sz="900" b="0" i="0" u="none" strike="noStrike" baseline="0">
            <a:solidFill>
              <a:sysClr val="windowText" lastClr="000000"/>
            </a:solidFill>
            <a:latin typeface="+mn-lt"/>
            <a:cs typeface="Aparajita" panose="020B0604020202020204" pitchFamily="34" charset="0"/>
          </a:endParaRP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En esta hoja se deben reflejar las Inversiones que se necesitan, tanto para arrancar como a lo largo del 1º y 2º ejercicios económicos, y la forma de Financiarlas.</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rial" panose="020B0604020202020204" pitchFamily="34" charset="0"/>
            </a:rPr>
            <a:t>• </a:t>
          </a:r>
          <a:r>
            <a:rPr lang="es-ES" sz="900" b="1" i="0" u="none" strike="noStrike" baseline="0">
              <a:solidFill>
                <a:sysClr val="windowText" lastClr="000000"/>
              </a:solidFill>
              <a:latin typeface="+mn-lt"/>
              <a:cs typeface="Arial" panose="020B0604020202020204" pitchFamily="34" charset="0"/>
            </a:rPr>
            <a:t>Plan de Inversión y Financiación inicial</a:t>
          </a:r>
          <a:r>
            <a:rPr lang="es-ES" sz="900" b="1" i="0" u="none" strike="noStrike" baseline="0">
              <a:solidFill>
                <a:sysClr val="windowText" lastClr="000000"/>
              </a:solidFill>
              <a:latin typeface="+mn-lt"/>
              <a:cs typeface="Aparajita" panose="020B0604020202020204" pitchFamily="34" charset="0"/>
            </a:rPr>
            <a:t> </a:t>
          </a:r>
          <a:r>
            <a:rPr lang="es-ES" sz="900" b="0" i="0" u="none" strike="noStrike" baseline="0">
              <a:solidFill>
                <a:sysClr val="windowText" lastClr="000000"/>
              </a:solidFill>
              <a:latin typeface="+mn-lt"/>
              <a:cs typeface="Aparajita" panose="020B0604020202020204" pitchFamily="34" charset="0"/>
            </a:rPr>
            <a:t>(momento de partida):</a:t>
          </a:r>
        </a:p>
        <a:p>
          <a:pPr algn="l" rtl="0">
            <a:lnSpc>
              <a:spcPct val="100000"/>
            </a:lnSpc>
            <a:spcBef>
              <a:spcPts val="0"/>
            </a:spcBef>
            <a:spcAft>
              <a:spcPts val="0"/>
            </a:spcAft>
            <a:defRPr sz="1000"/>
          </a:pPr>
          <a:endParaRPr lang="es-ES" sz="900" b="0" i="0" u="none" strike="noStrike" baseline="0">
            <a:solidFill>
              <a:sysClr val="windowText" lastClr="000000"/>
            </a:solidFill>
            <a:latin typeface="+mn-lt"/>
            <a:cs typeface="Aparajita" panose="020B0604020202020204" pitchFamily="34" charset="0"/>
          </a:endParaRP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a:t>
          </a:r>
          <a:r>
            <a:rPr lang="es-ES" sz="900" b="1" i="0" u="none" strike="noStrike" baseline="0">
              <a:solidFill>
                <a:sysClr val="windowText" lastClr="000000"/>
              </a:solidFill>
              <a:latin typeface="+mn-lt"/>
              <a:cs typeface="Aparajita" panose="020B0604020202020204" pitchFamily="34" charset="0"/>
            </a:rPr>
            <a:t>¿Que inversiones precisamos?</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Los importes de las mismas los debemos de escribir en las celdas de las columnas C y D, de forma que:</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aquellas que los socios-emprendedores aporten a la empresa para que sean utilizadas para el desarrollo de la actividad mientras duren (mobiliario, ordenadores,...), se reflejarán en las celdas de la columna C por el valor que se estime que se puedan pagar por ellos en el mercado de segunda mano.</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aquellas que se adquieran se reflejarán en la columna D (el importe de la base imponible de las mismas, sin IVA). El porcentaje de IVA Soportado a pagar sobre la base imponible aparece predeterminado con el 21% en las celdas de la columna E, porcentaje que se puede modificar (por el 0%, 4% o 10%) en los casos que lo requiera.</a:t>
          </a:r>
        </a:p>
        <a:p>
          <a:pPr algn="l" rtl="0">
            <a:lnSpc>
              <a:spcPct val="100000"/>
            </a:lnSpc>
            <a:spcBef>
              <a:spcPts val="0"/>
            </a:spcBef>
            <a:spcAft>
              <a:spcPts val="0"/>
            </a:spcAft>
            <a:defRPr sz="1000"/>
          </a:pPr>
          <a:endParaRPr lang="es-ES" sz="900" b="0" i="0" u="none" strike="noStrike" baseline="0">
            <a:solidFill>
              <a:sysClr val="windowText" lastClr="000000"/>
            </a:solidFill>
            <a:latin typeface="+mn-lt"/>
            <a:cs typeface="Aparajita"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s-ES" sz="900" b="0" i="0" baseline="0">
              <a:solidFill>
                <a:schemeClr val="dk1"/>
              </a:solidFill>
              <a:effectLst/>
              <a:latin typeface="+mn-lt"/>
              <a:ea typeface="+mn-ea"/>
              <a:cs typeface="+mn-cs"/>
            </a:rPr>
            <a:t>- </a:t>
          </a:r>
          <a:r>
            <a:rPr lang="es-ES" sz="900" b="1" i="0" baseline="0">
              <a:solidFill>
                <a:schemeClr val="dk1"/>
              </a:solidFill>
              <a:effectLst/>
              <a:latin typeface="+mn-lt"/>
              <a:ea typeface="+mn-ea"/>
              <a:cs typeface="+mn-cs"/>
            </a:rPr>
            <a:t>¿Cuánto van a durar las inversiones con una vida útil finita?</a:t>
          </a:r>
          <a:endParaRPr lang="es-ES" sz="900">
            <a:effectLst/>
          </a:endParaRP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En la columna I se han dejado preestablecidos un número de años de vida útil lógico para cada elemento de inmovilizado material e intangible. En el supuesto de que algún/o año no represente la realidad de duración del bien o derecho al que afecte, pueden modificarse.</a:t>
          </a:r>
        </a:p>
        <a:p>
          <a:pPr algn="l" rtl="0">
            <a:lnSpc>
              <a:spcPct val="100000"/>
            </a:lnSpc>
            <a:spcBef>
              <a:spcPts val="0"/>
            </a:spcBef>
            <a:spcAft>
              <a:spcPts val="0"/>
            </a:spcAft>
            <a:defRPr sz="1000"/>
          </a:pPr>
          <a:endParaRPr lang="es-ES" sz="900" b="0" i="0" u="none" strike="noStrike" baseline="0">
            <a:solidFill>
              <a:sysClr val="windowText" lastClr="000000"/>
            </a:solidFill>
            <a:latin typeface="+mn-lt"/>
            <a:cs typeface="Aparajita" panose="020B0604020202020204" pitchFamily="34" charset="0"/>
          </a:endParaRPr>
        </a:p>
        <a:p>
          <a:pPr rtl="0"/>
          <a:r>
            <a:rPr lang="es-ES" sz="900" b="0" i="0" baseline="0">
              <a:solidFill>
                <a:schemeClr val="dk1"/>
              </a:solidFill>
              <a:effectLst/>
              <a:latin typeface="+mn-lt"/>
              <a:ea typeface="+mn-ea"/>
              <a:cs typeface="+mn-cs"/>
            </a:rPr>
            <a:t>- </a:t>
          </a:r>
          <a:r>
            <a:rPr lang="es-ES" sz="900" b="1" i="0" baseline="0">
              <a:solidFill>
                <a:schemeClr val="dk1"/>
              </a:solidFill>
              <a:effectLst/>
              <a:latin typeface="+mn-lt"/>
              <a:ea typeface="+mn-ea"/>
              <a:cs typeface="+mn-cs"/>
            </a:rPr>
            <a:t>¿Cómo vamos a financiar dichas inversiones?</a:t>
          </a:r>
          <a:endParaRPr lang="es-ES" sz="900">
            <a:effectLst/>
          </a:endParaRPr>
        </a:p>
        <a:p>
          <a:r>
            <a:rPr lang="es-ES" sz="900" b="0" i="0" baseline="0">
              <a:solidFill>
                <a:schemeClr val="dk1"/>
              </a:solidFill>
              <a:effectLst/>
              <a:latin typeface="+mn-lt"/>
              <a:ea typeface="+mn-ea"/>
              <a:cs typeface="+mn-cs"/>
            </a:rPr>
            <a:t>En las celdas de la columna O debemos indicar los importes de la misma según la procedencia o fuentes descritas en las celdas de la columna M, y diferenciaremos aquella que no hya que devolver y la que nos exigen que devolvamos:</a:t>
          </a:r>
        </a:p>
        <a:p>
          <a:endParaRPr lang="es-ES" sz="800" b="0" i="0" baseline="0">
            <a:solidFill>
              <a:schemeClr val="dk1"/>
            </a:solidFill>
            <a:effectLst/>
            <a:latin typeface="+mn-lt"/>
            <a:ea typeface="+mn-ea"/>
            <a:cs typeface="+mn-cs"/>
          </a:endParaRPr>
        </a:p>
        <a:p>
          <a:r>
            <a:rPr lang="es-ES" sz="900" b="0" i="0" baseline="0">
              <a:solidFill>
                <a:schemeClr val="dk1"/>
              </a:solidFill>
              <a:effectLst/>
              <a:latin typeface="+mn-lt"/>
              <a:ea typeface="+mn-ea"/>
              <a:cs typeface="+mn-cs"/>
            </a:rPr>
            <a:t>* Respecto a la financiación que no hay que devolver:</a:t>
          </a:r>
        </a:p>
        <a:p>
          <a:r>
            <a:rPr lang="es-ES" sz="900" b="0" i="0" u="none" strike="noStrike" baseline="0">
              <a:solidFill>
                <a:schemeClr val="dk1"/>
              </a:solidFill>
              <a:effectLst/>
              <a:latin typeface="+mn-lt"/>
              <a:ea typeface="+mn-ea"/>
              <a:cs typeface="+mn-cs"/>
            </a:rPr>
            <a:t>. En la celda O17 aparecerá el importe correspondiente a la suma de los bienes y derechos que aporten los socios-emprendedores y que se han reflejado en las celdas de la columna C.</a:t>
          </a:r>
        </a:p>
        <a:p>
          <a:r>
            <a:rPr lang="es-ES" sz="900" b="0" i="0" u="none" strike="noStrike" baseline="0">
              <a:solidFill>
                <a:schemeClr val="dk1"/>
              </a:solidFill>
              <a:effectLst/>
              <a:latin typeface="+mn-lt"/>
              <a:ea typeface="+mn-ea"/>
              <a:cs typeface="+mn-cs"/>
            </a:rPr>
            <a:t>. Si los socios-emprendedores aportan dinero, se reflejará en la celda O13, mientras que si los que lo aportan son inversores externos cuyo objetivo es vender en un futuro estas participaciones, se reflejará en la celda B14.</a:t>
          </a:r>
        </a:p>
        <a:p>
          <a:r>
            <a:rPr lang="es-ES" sz="900" b="0" i="0" u="none" strike="noStrike" baseline="0">
              <a:solidFill>
                <a:schemeClr val="dk1"/>
              </a:solidFill>
              <a:effectLst/>
              <a:latin typeface="+mn-lt"/>
              <a:ea typeface="+mn-ea"/>
              <a:cs typeface="+mn-cs"/>
            </a:rPr>
            <a:t>. El dinero que se hay recibido en la fecha de arranque de la actividad y que no haya que devolverlo a las instituciones u organismos que lo han concedido, es decir, que sea a fondo perdido por Suvenciones o que sea consecuencia de Donaciones, se insertará en la celda O20.</a:t>
          </a:r>
        </a:p>
        <a:p>
          <a:r>
            <a:rPr lang="es-ES" sz="900" b="0" i="0" u="none" strike="noStrike" baseline="0">
              <a:solidFill>
                <a:schemeClr val="dk1"/>
              </a:solidFill>
              <a:effectLst/>
              <a:latin typeface="+mn-lt"/>
              <a:ea typeface="+mn-ea"/>
              <a:cs typeface="+mn-cs"/>
            </a:rPr>
            <a:t>. Si se recibe dinero a cambio de una recompensa mas o menos simbólica (Crowdfunding de Recompensa), se reflejará en la celda O23. Teniendo que indicarse (con signo negativo) en la celda O24 el gasto de la campaña de comunicación a llevar a cabo para poder captar este dinero.</a:t>
          </a:r>
        </a:p>
        <a:p>
          <a:r>
            <a:rPr lang="es-ES" sz="900" b="0" i="0" u="none" strike="noStrike" baseline="0">
              <a:solidFill>
                <a:schemeClr val="dk1"/>
              </a:solidFill>
              <a:effectLst/>
              <a:latin typeface="+mn-lt"/>
              <a:ea typeface="+mn-ea"/>
              <a:cs typeface="+mn-cs"/>
            </a:rPr>
            <a:t>. La diferencia entre ingresos y gastos soportados, si se han tenido en la fase de validación, se reflejará en la celda O30 (si el resultado es positivo, no habrá que escribir signo alguno, pero si es negativo debe anteponerse al importe en cuestión el signo negativo)</a:t>
          </a:r>
        </a:p>
        <a:p>
          <a:endParaRPr lang="es-ES" sz="900" b="0" i="0" u="none" strike="noStrike" baseline="0">
            <a:solidFill>
              <a:sysClr val="windowText" lastClr="000000"/>
            </a:solidFill>
            <a:latin typeface="+mn-lt"/>
            <a:cs typeface="Aparajita" panose="020B0604020202020204" pitchFamily="34" charset="0"/>
          </a:endParaRP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Si la Forma de Financiación elegida es Deuda "Exigible" (celdas O27 y O38), es decir, que hay que devolverla en unos plazos y pagar por ella un interés - "Préstamos Participativos"(PP), </a:t>
          </a:r>
          <a:r>
            <a:rPr lang="es-ES" sz="900" b="0" i="0" baseline="0">
              <a:solidFill>
                <a:schemeClr val="dk1"/>
              </a:solidFill>
              <a:effectLst/>
              <a:latin typeface="+mn-lt"/>
              <a:ea typeface="+mn-ea"/>
              <a:cs typeface="+mn-cs"/>
            </a:rPr>
            <a:t>"Crowdfunding-Préstamos Financieros" (P)</a:t>
          </a:r>
          <a:r>
            <a:rPr lang="es-ES" sz="900" b="0" i="0" u="none" strike="noStrike" baseline="0">
              <a:solidFill>
                <a:sysClr val="windowText" lastClr="000000"/>
              </a:solidFill>
              <a:latin typeface="+mn-lt"/>
              <a:cs typeface="Aparajita" panose="020B0604020202020204" pitchFamily="34" charset="0"/>
            </a:rPr>
            <a:t> -, hay que revisar, y/o en su caso modificar, las características que aparecen predeterminadas en las celdas de las columnas Q a U.</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En la celda O39 se reflejará aquella Deuda "Exigible" de la que no tenemos señalados plazos para devolverla, como el caso de los "Préstamos de familiares y/o socios".</a:t>
          </a:r>
        </a:p>
        <a:p>
          <a:pPr algn="l" rtl="0">
            <a:lnSpc>
              <a:spcPct val="100000"/>
            </a:lnSpc>
            <a:spcBef>
              <a:spcPts val="0"/>
            </a:spcBef>
            <a:spcAft>
              <a:spcPts val="0"/>
            </a:spcAft>
            <a:defRPr sz="1000"/>
          </a:pPr>
          <a:endParaRPr lang="es-ES" sz="900" b="0" i="0" u="none" strike="noStrike" baseline="0">
            <a:solidFill>
              <a:sysClr val="windowText" lastClr="000000"/>
            </a:solidFill>
            <a:latin typeface="+mn-lt"/>
            <a:cs typeface="Aparajita" panose="020B0604020202020204" pitchFamily="34" charset="0"/>
          </a:endParaRP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La diferencia entre el importe de las Inversiones a adquirir y de la Financiación reflejada aparecerá en la celda G43 o G44:</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 Si aparece un número en la G43, nos estará advirtiendo que para las Inversiones que hay que adquirir (importes de las celdas de la columna D) no se dispone de suficiente Financiación, por lo que hay que reajustar (disminuir) las Inversiones a adquirir, o conseguir mas u otras fuentes de Financiación.</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 Si aparece en G44 ocurre lo contrario, con la Financiación que vamos a disponer (importes de las celdas de la columna O) hay mas que de sobra para adquirir las Inversiones iniciales que hay que comprar y, por tanto, sobradinero que se queda como Disponible o colchón de tesorería con el que podremos hacer frente a los siguientes pagos.</a:t>
          </a:r>
        </a:p>
        <a:p>
          <a:pPr algn="l" rtl="0">
            <a:lnSpc>
              <a:spcPct val="100000"/>
            </a:lnSpc>
            <a:spcBef>
              <a:spcPts val="0"/>
            </a:spcBef>
            <a:spcAft>
              <a:spcPts val="0"/>
            </a:spcAft>
            <a:defRPr sz="1000"/>
          </a:pPr>
          <a:endParaRPr lang="es-ES" sz="900" b="0" i="0" u="none" strike="noStrike" baseline="0">
            <a:solidFill>
              <a:sysClr val="windowText" lastClr="000000"/>
            </a:solidFill>
            <a:latin typeface="+mn-lt"/>
            <a:cs typeface="Aparajita" panose="020B0604020202020204" pitchFamily="34" charset="0"/>
          </a:endParaRPr>
        </a:p>
        <a:p>
          <a:pPr rtl="0"/>
          <a:r>
            <a:rPr lang="es-ES" sz="1100" b="0" i="0" baseline="0">
              <a:solidFill>
                <a:schemeClr val="dk1"/>
              </a:solidFill>
              <a:effectLst/>
              <a:latin typeface="+mn-lt"/>
              <a:ea typeface="+mn-ea"/>
              <a:cs typeface="+mn-cs"/>
            </a:rPr>
            <a:t>•</a:t>
          </a:r>
          <a:r>
            <a:rPr lang="es-ES" sz="900" b="0" i="0" baseline="0">
              <a:solidFill>
                <a:schemeClr val="dk1"/>
              </a:solidFill>
              <a:effectLst/>
              <a:latin typeface="+mn-lt"/>
              <a:ea typeface="+mn-ea"/>
              <a:cs typeface="+mn-cs"/>
            </a:rPr>
            <a:t> </a:t>
          </a:r>
          <a:r>
            <a:rPr lang="es-ES" sz="900" b="1" i="0" baseline="0">
              <a:solidFill>
                <a:schemeClr val="dk1"/>
              </a:solidFill>
              <a:effectLst/>
              <a:latin typeface="+mn-lt"/>
              <a:ea typeface="+mn-ea"/>
              <a:cs typeface="+mn-cs"/>
            </a:rPr>
            <a:t>Plan de Inversión y Financiación posteriores </a:t>
          </a:r>
          <a:r>
            <a:rPr lang="es-ES" sz="900" b="0" i="0" baseline="0">
              <a:solidFill>
                <a:schemeClr val="dk1"/>
              </a:solidFill>
              <a:effectLst/>
              <a:latin typeface="+mn-lt"/>
              <a:ea typeface="+mn-ea"/>
              <a:cs typeface="+mn-cs"/>
            </a:rPr>
            <a:t>(a lo largo del 1º y 2º ejercicios):</a:t>
          </a:r>
          <a:endParaRPr lang="es-ES" sz="900">
            <a:effectLst/>
          </a:endParaRPr>
        </a:p>
        <a:p>
          <a:pPr rtl="0"/>
          <a:endParaRPr lang="es-ES" sz="900" b="0" i="0" baseline="0">
            <a:solidFill>
              <a:schemeClr val="dk1"/>
            </a:solidFill>
            <a:effectLst/>
            <a:latin typeface="+mn-lt"/>
            <a:ea typeface="+mn-ea"/>
            <a:cs typeface="+mn-cs"/>
          </a:endParaRPr>
        </a:p>
        <a:p>
          <a:pPr rtl="0"/>
          <a:r>
            <a:rPr lang="es-ES" sz="900" b="0" i="0" baseline="0">
              <a:solidFill>
                <a:schemeClr val="dk1"/>
              </a:solidFill>
              <a:effectLst/>
              <a:latin typeface="+mn-lt"/>
              <a:ea typeface="+mn-ea"/>
              <a:cs typeface="+mn-cs"/>
            </a:rPr>
            <a:t>- </a:t>
          </a:r>
          <a:r>
            <a:rPr lang="es-ES" sz="900" b="1" i="0" baseline="0">
              <a:solidFill>
                <a:schemeClr val="dk1"/>
              </a:solidFill>
              <a:effectLst/>
              <a:latin typeface="+mn-lt"/>
              <a:ea typeface="+mn-ea"/>
              <a:cs typeface="+mn-cs"/>
            </a:rPr>
            <a:t>Inversiones a realizar y forma de Financiarlas</a:t>
          </a:r>
          <a:endParaRPr lang="es-ES" sz="900">
            <a:effectLst/>
          </a:endParaRPr>
        </a:p>
        <a:p>
          <a:r>
            <a:rPr lang="es-ES" sz="900" b="0" i="0" u="none" strike="noStrike" baseline="0">
              <a:solidFill>
                <a:schemeClr val="dk1"/>
              </a:solidFill>
              <a:effectLst/>
              <a:latin typeface="+mn-lt"/>
              <a:ea typeface="+mn-ea"/>
              <a:cs typeface="+mn-cs"/>
            </a:rPr>
            <a:t>. </a:t>
          </a:r>
          <a:r>
            <a:rPr lang="es-ES" sz="900" b="0" i="0" u="none" strike="noStrike" baseline="0">
              <a:solidFill>
                <a:sysClr val="windowText" lastClr="000000"/>
              </a:solidFill>
              <a:latin typeface="+mn-lt"/>
              <a:cs typeface="Aparajita" panose="020B0604020202020204" pitchFamily="34" charset="0"/>
            </a:rPr>
            <a:t>Los importes de las adquisiciones de los nuevos Activos No Corrientes hay que escribirlos en las celdas de las columnas “Importe de las Inversiones a realizar”, (reflejando el importe de la base imponible para las empresas no exentas de IVA, y con IVA para las exentas). Una vez escritos, se coloreará en rojo su inmediata celda de la derecha “Forma de Financiarlas”, debiendo escribir la primera letra de alguna de las “Formas de Financiarlas” que aparecen escritas en el comentario del título de la columna.</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Si la Forma de Financiarlas elegida es por Préstamo Financiero- Crowdfunding (P), y hay que modificar las características de dicha Financiación, se debe ir a las celdas comprendidas entre las columnas AD-AH (1º ejercicio) o AO-AS (2º ejercicio) de la fila 15 y modificarlas.</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Si la elegida es el Renting (R), esto supone que todos los meses, durante una plazo de tiempo establecido en contrato, hay que pagar una cuota mensual por el alquiler del bien en cuestión. Cuota mensual (sin IVA) que quedará reflejada como Gasto de Explotación en la fila 29 de la </a:t>
          </a:r>
          <a:r>
            <a:rPr lang="es-ES" sz="900" b="1" i="0" u="none" strike="noStrike" baseline="0">
              <a:solidFill>
                <a:sysClr val="windowText" lastClr="000000"/>
              </a:solidFill>
              <a:latin typeface="+mn-lt"/>
              <a:cs typeface="Aparajita" panose="020B0604020202020204" pitchFamily="34" charset="0"/>
            </a:rPr>
            <a:t>hoja 6</a:t>
          </a:r>
          <a:r>
            <a:rPr lang="es-ES" sz="900" b="0" i="0" u="none" strike="noStrike" baseline="0">
              <a:solidFill>
                <a:sysClr val="windowText" lastClr="000000"/>
              </a:solidFill>
              <a:latin typeface="+mn-lt"/>
              <a:cs typeface="Aparajita" panose="020B0604020202020204" pitchFamily="34" charset="0"/>
            </a:rPr>
            <a:t>, y cuyo pago por el total (cuota + IVA) quedará reflejado como salida de Tesorería en la </a:t>
          </a:r>
          <a:r>
            <a:rPr lang="es-ES" sz="900" b="1" i="0" u="none" strike="noStrike" baseline="0">
              <a:solidFill>
                <a:sysClr val="windowText" lastClr="000000"/>
              </a:solidFill>
              <a:latin typeface="+mn-lt"/>
              <a:cs typeface="Aparajita" panose="020B0604020202020204" pitchFamily="34" charset="0"/>
            </a:rPr>
            <a:t>hoja 8</a:t>
          </a:r>
          <a:r>
            <a:rPr lang="es-ES" sz="900" b="0" i="0" u="none" strike="noStrike" baseline="0">
              <a:solidFill>
                <a:sysClr val="windowText" lastClr="000000"/>
              </a:solidFill>
              <a:latin typeface="+mn-lt"/>
              <a:cs typeface="Aparajita" panose="020B0604020202020204" pitchFamily="34" charset="0"/>
            </a:rPr>
            <a:t>.</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 En el supuesto de que se prevea realizar Inversiones a Financiar con Tesorería (T), en las celdas de la fila AA-AB 30 (1º ejercicio) y/o AL-AM 30 (2º ejercicio) aparecerá el importe de Tesorería Necesaria. En cuyo caso habrá que bajar a las celdas de las filas 38 a 50 "Financiación para la Tesorería", y reflejar el/los importe/s de donde va a proceder la Financiación para cubrir esa Necesidad de Tesorería, que puede proceder de: 1. Ampliaciónes de Capital (A),  2. Subvenciones, Donaciones (S) ,3.  Crowdfunding (C), 4. Préstamo Participativo (PP), 5. Préstamo Financiero (P) y Préstamo de los Socios, Familiares y Amigos (PS).</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a:t>
          </a:r>
        </a:p>
        <a:p>
          <a:pPr algn="l" rtl="0">
            <a:lnSpc>
              <a:spcPct val="100000"/>
            </a:lnSpc>
            <a:spcBef>
              <a:spcPts val="0"/>
            </a:spcBef>
            <a:spcAft>
              <a:spcPts val="0"/>
            </a:spcAft>
            <a:defRPr sz="1000"/>
          </a:pPr>
          <a:r>
            <a:rPr lang="es-ES" sz="900" b="0" i="0" u="none" strike="noStrike" baseline="0">
              <a:solidFill>
                <a:sysClr val="windowText" lastClr="000000"/>
              </a:solidFill>
              <a:latin typeface="+mn-lt"/>
              <a:cs typeface="Aparajita" panose="020B0604020202020204" pitchFamily="34" charset="0"/>
            </a:rPr>
            <a:t> * Si la Financiación proviene de: (A) Ampliación de Capital - Equity Crowdfunding, (S) Subvenciones, Donaciones y (PS) Préstamos de Socios, Familiares y Amigos, hay que pasar a la </a:t>
          </a:r>
          <a:r>
            <a:rPr lang="es-ES" sz="900" b="1" i="0" u="none" strike="noStrike" baseline="0">
              <a:solidFill>
                <a:sysClr val="windowText" lastClr="000000"/>
              </a:solidFill>
              <a:latin typeface="+mn-lt"/>
              <a:cs typeface="Aparajita" panose="020B0604020202020204" pitchFamily="34" charset="0"/>
            </a:rPr>
            <a:t>hoja 8 </a:t>
          </a:r>
          <a:r>
            <a:rPr lang="es-ES" sz="900" b="0" i="0" u="none" strike="noStrike" baseline="0">
              <a:solidFill>
                <a:sysClr val="windowText" lastClr="000000"/>
              </a:solidFill>
              <a:latin typeface="+mn-lt"/>
              <a:cs typeface="Aparajita" panose="020B0604020202020204" pitchFamily="34" charset="0"/>
            </a:rPr>
            <a:t>y en el mes, o meses, que se prevea realizar el desembolso de la misma, hay que reflejarlo en la/s celda/s de la fila 16 de dicha </a:t>
          </a:r>
          <a:r>
            <a:rPr lang="es-ES" sz="900" b="1" i="0" u="none" strike="noStrike" baseline="0">
              <a:solidFill>
                <a:sysClr val="windowText" lastClr="000000"/>
              </a:solidFill>
              <a:latin typeface="+mn-lt"/>
              <a:cs typeface="Aparajita" panose="020B0604020202020204" pitchFamily="34" charset="0"/>
            </a:rPr>
            <a:t>hoja 8</a:t>
          </a:r>
          <a:r>
            <a:rPr lang="es-ES" sz="900" b="0" i="0" u="none" strike="noStrike" baseline="0">
              <a:solidFill>
                <a:sysClr val="windowText" lastClr="000000"/>
              </a:solidFill>
              <a:latin typeface="+mn-lt"/>
              <a:cs typeface="Aparajita" panose="020B0604020202020204" pitchFamily="34" charset="0"/>
            </a:rPr>
            <a:t>.</a:t>
          </a:r>
          <a:endParaRPr lang="es-ES" sz="900" b="1" i="0" u="none" strike="noStrike" baseline="0">
            <a:solidFill>
              <a:sysClr val="windowText" lastClr="000000"/>
            </a:solidFill>
            <a:latin typeface="+mn-lt"/>
            <a:cs typeface="Aparajita" panose="020B0604020202020204" pitchFamily="34" charset="0"/>
          </a:endParaRPr>
        </a:p>
        <a:p>
          <a:pPr algn="l" rtl="0">
            <a:lnSpc>
              <a:spcPts val="800"/>
            </a:lnSpc>
            <a:spcBef>
              <a:spcPts val="100"/>
            </a:spcBef>
            <a:spcAft>
              <a:spcPts val="100"/>
            </a:spcAft>
            <a:defRPr sz="1000"/>
          </a:pPr>
          <a:endParaRPr lang="es-ES" sz="900" b="0" i="0" u="none" strike="noStrike" baseline="0">
            <a:solidFill>
              <a:sysClr val="windowText" lastClr="000000"/>
            </a:solidFill>
            <a:latin typeface="Aparajita" panose="020B0604020202020204" pitchFamily="34" charset="0"/>
            <a:cs typeface="Aparajita" panose="020B0604020202020204" pitchFamily="34" charset="0"/>
          </a:endParaRPr>
        </a:p>
        <a:p>
          <a:pPr algn="l" rtl="0">
            <a:lnSpc>
              <a:spcPts val="800"/>
            </a:lnSpc>
            <a:spcBef>
              <a:spcPts val="100"/>
            </a:spcBef>
            <a:spcAft>
              <a:spcPts val="100"/>
            </a:spcAft>
            <a:defRPr sz="1000"/>
          </a:pPr>
          <a:endParaRPr lang="es-ES" sz="900">
            <a:solidFill>
              <a:sysClr val="windowText" lastClr="000000"/>
            </a:solidFill>
            <a:latin typeface="Aparajita" panose="020B0604020202020204" pitchFamily="34" charset="0"/>
            <a:cs typeface="Aparajita" panose="020B0604020202020204" pitchFamily="34" charset="0"/>
          </a:endParaRPr>
        </a:p>
      </xdr:txBody>
    </xdr:sp>
    <xdr:clientData/>
  </xdr:twoCellAnchor>
  <xdr:twoCellAnchor>
    <xdr:from>
      <xdr:col>0</xdr:col>
      <xdr:colOff>142876</xdr:colOff>
      <xdr:row>348</xdr:row>
      <xdr:rowOff>23815</xdr:rowOff>
    </xdr:from>
    <xdr:to>
      <xdr:col>3</xdr:col>
      <xdr:colOff>188188</xdr:colOff>
      <xdr:row>408</xdr:row>
      <xdr:rowOff>87313</xdr:rowOff>
    </xdr:to>
    <xdr:sp macro="" textlink="">
      <xdr:nvSpPr>
        <xdr:cNvPr id="19" name="CuadroTexto 18">
          <a:extLst>
            <a:ext uri="{FF2B5EF4-FFF2-40B4-BE49-F238E27FC236}">
              <a16:creationId xmlns:a16="http://schemas.microsoft.com/office/drawing/2014/main" id="{00000000-0008-0000-0200-000013000000}"/>
            </a:ext>
          </a:extLst>
        </xdr:cNvPr>
        <xdr:cNvSpPr txBox="1"/>
      </xdr:nvSpPr>
      <xdr:spPr>
        <a:xfrm>
          <a:off x="142876" y="55252940"/>
          <a:ext cx="7657375" cy="9588498"/>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spcBef>
              <a:spcPts val="0"/>
            </a:spcBef>
            <a:spcAft>
              <a:spcPts val="0"/>
            </a:spcAft>
          </a:pPr>
          <a:r>
            <a:rPr lang="es-ES" sz="900" b="1">
              <a:solidFill>
                <a:schemeClr val="dk1"/>
              </a:solidFill>
              <a:effectLst/>
              <a:latin typeface="+mn-lt"/>
              <a:ea typeface="+mn-ea"/>
              <a:cs typeface="Aparajita" panose="020B0604020202020204" pitchFamily="34" charset="0"/>
            </a:rPr>
            <a:t>8. Tesorería (</a:t>
          </a:r>
          <a:r>
            <a:rPr lang="es-ES" sz="900" b="1" u="none">
              <a:solidFill>
                <a:schemeClr val="dk1"/>
              </a:solidFill>
              <a:effectLst/>
              <a:latin typeface="+mn-lt"/>
              <a:ea typeface="+mn-ea"/>
              <a:cs typeface="Aparajita" panose="020B0604020202020204" pitchFamily="34" charset="0"/>
            </a:rPr>
            <a:t>Ej 1º, 2º</a:t>
          </a:r>
          <a:r>
            <a:rPr lang="es-ES" sz="900" b="1">
              <a:solidFill>
                <a:schemeClr val="dk1"/>
              </a:solidFill>
              <a:effectLst/>
              <a:latin typeface="+mn-lt"/>
              <a:ea typeface="+mn-ea"/>
              <a:cs typeface="Aparajita" panose="020B0604020202020204" pitchFamily="34" charset="0"/>
            </a:rPr>
            <a:t>)</a:t>
          </a:r>
          <a:r>
            <a:rPr lang="es-ES" sz="900">
              <a:solidFill>
                <a:schemeClr val="dk1"/>
              </a:solidFill>
              <a:effectLst/>
              <a:latin typeface="+mn-lt"/>
              <a:ea typeface="+mn-ea"/>
              <a:cs typeface="Aparajita" panose="020B0604020202020204" pitchFamily="34" charset="0"/>
            </a:rPr>
            <a:t> </a:t>
          </a:r>
          <a:r>
            <a:rPr lang="es-ES" sz="900" i="1">
              <a:solidFill>
                <a:schemeClr val="dk1"/>
              </a:solidFill>
              <a:effectLst/>
              <a:latin typeface="+mn-lt"/>
              <a:ea typeface="+mn-ea"/>
              <a:cs typeface="Aparajita" panose="020B0604020202020204" pitchFamily="34" charset="0"/>
            </a:rPr>
            <a:t>(2 páginas)</a:t>
          </a:r>
        </a:p>
        <a:p>
          <a:pPr>
            <a:lnSpc>
              <a:spcPct val="100000"/>
            </a:lnSpc>
            <a:spcBef>
              <a:spcPts val="0"/>
            </a:spcBef>
            <a:spcAft>
              <a:spcPts val="0"/>
            </a:spcAft>
          </a:pPr>
          <a:endParaRPr lang="es-ES" sz="900">
            <a:solidFill>
              <a:schemeClr val="dk1"/>
            </a:solidFill>
            <a:effectLst/>
            <a:latin typeface="+mn-lt"/>
            <a:ea typeface="+mn-ea"/>
            <a:cs typeface="Aparajita" panose="020B0604020202020204" pitchFamily="34" charset="0"/>
          </a:endParaRP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sym typeface="Marlett" pitchFamily="2" charset="2"/>
            </a:rPr>
            <a:t>En</a:t>
          </a:r>
          <a:r>
            <a:rPr lang="es-ES" sz="900" baseline="0">
              <a:solidFill>
                <a:schemeClr val="dk1"/>
              </a:solidFill>
              <a:effectLst/>
              <a:latin typeface="+mn-lt"/>
              <a:ea typeface="+mn-ea"/>
              <a:cs typeface="Aparajita" panose="020B0604020202020204" pitchFamily="34" charset="0"/>
              <a:sym typeface="Marlett" pitchFamily="2" charset="2"/>
            </a:rPr>
            <a:t> esta hoja es donde va a queda r</a:t>
          </a:r>
          <a:r>
            <a:rPr lang="es-ES" sz="900">
              <a:solidFill>
                <a:schemeClr val="dk1"/>
              </a:solidFill>
              <a:effectLst/>
              <a:latin typeface="+mn-lt"/>
              <a:ea typeface="+mn-ea"/>
              <a:cs typeface="Aparajita" panose="020B0604020202020204" pitchFamily="34" charset="0"/>
            </a:rPr>
            <a:t>confeccionado el tercer estado financiero del PF: el </a:t>
          </a:r>
          <a:r>
            <a:rPr lang="es-ES" sz="900" i="1">
              <a:solidFill>
                <a:schemeClr val="dk1"/>
              </a:solidFill>
              <a:effectLst/>
              <a:latin typeface="+mn-lt"/>
              <a:ea typeface="+mn-ea"/>
              <a:cs typeface="Aparajita" panose="020B0604020202020204" pitchFamily="34" charset="0"/>
            </a:rPr>
            <a:t>plan de tesorería, presupuesto de tesorería, estado de flujos de efectivo o estado de tesorería previsional,</a:t>
          </a:r>
          <a:r>
            <a:rPr lang="es-ES" sz="900">
              <a:solidFill>
                <a:schemeClr val="dk1"/>
              </a:solidFill>
              <a:effectLst/>
              <a:latin typeface="+mn-lt"/>
              <a:ea typeface="+mn-ea"/>
              <a:cs typeface="Aparajita" panose="020B0604020202020204" pitchFamily="34" charset="0"/>
            </a:rPr>
            <a:t> para los</a:t>
          </a:r>
          <a:r>
            <a:rPr lang="es-ES" sz="900" baseline="0">
              <a:solidFill>
                <a:schemeClr val="dk1"/>
              </a:solidFill>
              <a:effectLst/>
              <a:latin typeface="+mn-lt"/>
              <a:ea typeface="+mn-ea"/>
              <a:cs typeface="Aparajita" panose="020B0604020202020204" pitchFamily="34" charset="0"/>
            </a:rPr>
            <a:t> dos</a:t>
          </a:r>
          <a:r>
            <a:rPr lang="es-ES" sz="900">
              <a:solidFill>
                <a:schemeClr val="dk1"/>
              </a:solidFill>
              <a:effectLst/>
              <a:latin typeface="+mn-lt"/>
              <a:ea typeface="+mn-ea"/>
              <a:cs typeface="Aparajita" panose="020B0604020202020204" pitchFamily="34" charset="0"/>
            </a:rPr>
            <a:t> primeros </a:t>
          </a:r>
          <a:r>
            <a:rPr lang="es-ES" sz="900" u="none">
              <a:solidFill>
                <a:schemeClr val="dk1"/>
              </a:solidFill>
              <a:effectLst/>
              <a:latin typeface="+mn-lt"/>
              <a:ea typeface="+mn-ea"/>
              <a:cs typeface="Aparajita" panose="020B0604020202020204" pitchFamily="34" charset="0"/>
            </a:rPr>
            <a:t>ejercicios económicos.</a:t>
          </a:r>
          <a:r>
            <a:rPr lang="es-ES" sz="900" u="none" baseline="0">
              <a:solidFill>
                <a:schemeClr val="dk1"/>
              </a:solidFill>
              <a:effectLst/>
              <a:latin typeface="+mn-lt"/>
              <a:ea typeface="+mn-ea"/>
              <a:cs typeface="Aparajita" panose="020B0604020202020204" pitchFamily="34" charset="0"/>
            </a:rPr>
            <a:t> Estado financiero que nos va a proporcionar información sobre los movimientos de tesorería mes a mes</a:t>
          </a:r>
          <a:r>
            <a:rPr lang="es-ES" sz="900" baseline="0">
              <a:solidFill>
                <a:schemeClr val="dk1"/>
              </a:solidFill>
              <a:effectLst/>
              <a:latin typeface="+mn-lt"/>
              <a:ea typeface="+mn-ea"/>
              <a:cs typeface="Aparajita" panose="020B0604020202020204" pitchFamily="34" charset="0"/>
            </a:rPr>
            <a:t> (saldos inicial y final y </a:t>
          </a:r>
          <a:r>
            <a:rPr lang="es-ES" sz="900">
              <a:solidFill>
                <a:schemeClr val="dk1"/>
              </a:solidFill>
              <a:effectLst/>
              <a:latin typeface="+mn-lt"/>
              <a:ea typeface="+mn-ea"/>
              <a:cs typeface="Aparajita" panose="020B0604020202020204" pitchFamily="34" charset="0"/>
            </a:rPr>
            <a:t>las estimación de los </a:t>
          </a:r>
          <a:r>
            <a:rPr lang="es-ES" sz="900" i="1">
              <a:solidFill>
                <a:schemeClr val="dk1"/>
              </a:solidFill>
              <a:effectLst/>
              <a:latin typeface="+mn-lt"/>
              <a:ea typeface="+mn-ea"/>
              <a:cs typeface="Aparajita" panose="020B0604020202020204" pitchFamily="34" charset="0"/>
            </a:rPr>
            <a:t>pagos </a:t>
          </a:r>
          <a:r>
            <a:rPr lang="es-ES" sz="900">
              <a:solidFill>
                <a:schemeClr val="dk1"/>
              </a:solidFill>
              <a:effectLst/>
              <a:latin typeface="+mn-lt"/>
              <a:ea typeface="+mn-ea"/>
              <a:cs typeface="Aparajita" panose="020B0604020202020204" pitchFamily="34" charset="0"/>
            </a:rPr>
            <a:t>y </a:t>
          </a:r>
          <a:r>
            <a:rPr lang="es-ES" sz="900" i="1">
              <a:solidFill>
                <a:schemeClr val="dk1"/>
              </a:solidFill>
              <a:effectLst/>
              <a:latin typeface="+mn-lt"/>
              <a:ea typeface="+mn-ea"/>
              <a:cs typeface="Aparajita" panose="020B0604020202020204" pitchFamily="34" charset="0"/>
            </a:rPr>
            <a:t>cobros</a:t>
          </a:r>
          <a:r>
            <a:rPr lang="es-ES" sz="900">
              <a:solidFill>
                <a:schemeClr val="dk1"/>
              </a:solidFill>
              <a:effectLst/>
              <a:latin typeface="+mn-lt"/>
              <a:ea typeface="+mn-ea"/>
              <a:cs typeface="Aparajita" panose="020B0604020202020204" pitchFamily="34" charset="0"/>
            </a:rPr>
            <a:t> correspondientes).</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A través de este estado financiero se podrá analizar la </a:t>
          </a:r>
          <a:r>
            <a:rPr lang="es-ES" sz="900" i="1">
              <a:solidFill>
                <a:schemeClr val="dk1"/>
              </a:solidFill>
              <a:effectLst/>
              <a:latin typeface="+mn-lt"/>
              <a:ea typeface="+mn-ea"/>
              <a:cs typeface="Aparajita" panose="020B0604020202020204" pitchFamily="34" charset="0"/>
            </a:rPr>
            <a:t>liquidez de la empresa </a:t>
          </a:r>
          <a:r>
            <a:rPr lang="es-ES" sz="900">
              <a:solidFill>
                <a:schemeClr val="dk1"/>
              </a:solidFill>
              <a:effectLst/>
              <a:latin typeface="+mn-lt"/>
              <a:ea typeface="+mn-ea"/>
              <a:cs typeface="Aparajita" panose="020B0604020202020204" pitchFamily="34" charset="0"/>
            </a:rPr>
            <a:t>a lo largo del</a:t>
          </a:r>
          <a:r>
            <a:rPr lang="es-ES" sz="900" baseline="0">
              <a:solidFill>
                <a:schemeClr val="dk1"/>
              </a:solidFill>
              <a:effectLst/>
              <a:latin typeface="+mn-lt"/>
              <a:ea typeface="+mn-ea"/>
              <a:cs typeface="Aparajita" panose="020B0604020202020204" pitchFamily="34" charset="0"/>
            </a:rPr>
            <a:t> primer y segundo ejercicio </a:t>
          </a:r>
          <a:r>
            <a:rPr lang="es-ES" sz="900">
              <a:solidFill>
                <a:schemeClr val="dk1"/>
              </a:solidFill>
              <a:effectLst/>
              <a:latin typeface="+mn-lt"/>
              <a:ea typeface="+mn-ea"/>
              <a:cs typeface="Aparajita" panose="020B0604020202020204" pitchFamily="34" charset="0"/>
            </a:rPr>
            <a:t>económico, determinando como se va</a:t>
          </a:r>
          <a:r>
            <a:rPr lang="es-ES" sz="900" baseline="0">
              <a:solidFill>
                <a:schemeClr val="dk1"/>
              </a:solidFill>
              <a:effectLst/>
              <a:latin typeface="+mn-lt"/>
              <a:ea typeface="+mn-ea"/>
              <a:cs typeface="Aparajita" panose="020B0604020202020204" pitchFamily="34" charset="0"/>
            </a:rPr>
            <a:t> </a:t>
          </a:r>
          <a:r>
            <a:rPr lang="es-ES" sz="900">
              <a:solidFill>
                <a:schemeClr val="dk1"/>
              </a:solidFill>
              <a:effectLst/>
              <a:latin typeface="+mn-lt"/>
              <a:ea typeface="+mn-ea"/>
              <a:cs typeface="Aparajita" panose="020B0604020202020204" pitchFamily="34" charset="0"/>
            </a:rPr>
            <a:t>“quemando” el dinero que se dispone</a:t>
          </a:r>
          <a:r>
            <a:rPr lang="es-ES" sz="900" baseline="0">
              <a:solidFill>
                <a:schemeClr val="dk1"/>
              </a:solidFill>
              <a:effectLst/>
              <a:latin typeface="+mn-lt"/>
              <a:ea typeface="+mn-ea"/>
              <a:cs typeface="Aparajita" panose="020B0604020202020204" pitchFamily="34" charset="0"/>
            </a:rPr>
            <a:t> y </a:t>
          </a:r>
          <a:r>
            <a:rPr lang="es-ES" sz="900">
              <a:solidFill>
                <a:schemeClr val="dk1"/>
              </a:solidFill>
              <a:effectLst/>
              <a:latin typeface="+mn-lt"/>
              <a:ea typeface="+mn-ea"/>
              <a:cs typeface="Aparajita" panose="020B0604020202020204" pitchFamily="34" charset="0"/>
            </a:rPr>
            <a:t>detectando si el proyecto planteado va</a:t>
          </a:r>
          <a:r>
            <a:rPr lang="es-ES" sz="900" baseline="0">
              <a:solidFill>
                <a:schemeClr val="dk1"/>
              </a:solidFill>
              <a:effectLst/>
              <a:latin typeface="+mn-lt"/>
              <a:ea typeface="+mn-ea"/>
              <a:cs typeface="Aparajita" panose="020B0604020202020204" pitchFamily="34" charset="0"/>
            </a:rPr>
            <a:t> a poder</a:t>
          </a:r>
          <a:r>
            <a:rPr lang="es-ES" sz="900">
              <a:solidFill>
                <a:schemeClr val="dk1"/>
              </a:solidFill>
              <a:effectLst/>
              <a:latin typeface="+mn-lt"/>
              <a:ea typeface="+mn-ea"/>
              <a:cs typeface="Aparajita" panose="020B0604020202020204" pitchFamily="34" charset="0"/>
            </a:rPr>
            <a:t> sobrevivir o no durante esos</a:t>
          </a:r>
          <a:r>
            <a:rPr lang="es-ES" sz="900" baseline="0">
              <a:solidFill>
                <a:schemeClr val="dk1"/>
              </a:solidFill>
              <a:effectLst/>
              <a:latin typeface="+mn-lt"/>
              <a:ea typeface="+mn-ea"/>
              <a:cs typeface="Aparajita" panose="020B0604020202020204" pitchFamily="34" charset="0"/>
            </a:rPr>
            <a:t> primeros años</a:t>
          </a:r>
          <a:r>
            <a:rPr lang="es-ES" sz="900">
              <a:solidFill>
                <a:schemeClr val="dk1"/>
              </a:solidFill>
              <a:effectLst/>
              <a:latin typeface="+mn-lt"/>
              <a:ea typeface="+mn-ea"/>
              <a:cs typeface="Aparajita" panose="020B0604020202020204" pitchFamily="34" charset="0"/>
            </a:rPr>
            <a:t>.</a:t>
          </a:r>
        </a:p>
        <a:p>
          <a:pPr>
            <a:lnSpc>
              <a:spcPct val="100000"/>
            </a:lnSpc>
            <a:spcBef>
              <a:spcPts val="0"/>
            </a:spcBef>
            <a:spcAft>
              <a:spcPts val="0"/>
            </a:spcAft>
          </a:pPr>
          <a:endParaRPr lang="es-ES" sz="900">
            <a:solidFill>
              <a:schemeClr val="dk1"/>
            </a:solidFill>
            <a:effectLst/>
            <a:latin typeface="+mn-lt"/>
            <a:ea typeface="+mn-ea"/>
            <a:cs typeface="Aparajita" panose="020B0604020202020204" pitchFamily="34" charset="0"/>
          </a:endParaRP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Para ello se debe controlar el Saldo Final = Tesorería Periodo Siguiente, fila 52,</a:t>
          </a:r>
          <a:r>
            <a:rPr lang="es-ES" sz="900" baseline="0">
              <a:solidFill>
                <a:schemeClr val="dk1"/>
              </a:solidFill>
              <a:effectLst/>
              <a:latin typeface="+mn-lt"/>
              <a:ea typeface="+mn-ea"/>
              <a:cs typeface="Aparajita" panose="020B0604020202020204" pitchFamily="34" charset="0"/>
            </a:rPr>
            <a:t> que corresponderá con el</a:t>
          </a:r>
          <a:r>
            <a:rPr lang="es-ES" sz="900">
              <a:solidFill>
                <a:schemeClr val="dk1"/>
              </a:solidFill>
              <a:effectLst/>
              <a:latin typeface="+mn-lt"/>
              <a:ea typeface="+mn-ea"/>
              <a:cs typeface="Aparajita" panose="020B0604020202020204" pitchFamily="34" charset="0"/>
            </a:rPr>
            <a:t> inicial del mes siguiente (celdas fila 12), excepto en la celda C12, que corresponderá al saldo de Tesorería (Disponible) en el momento de Partida del 1º ejercicio, y celda</a:t>
          </a:r>
          <a:r>
            <a:rPr lang="es-ES" sz="900" baseline="0">
              <a:solidFill>
                <a:schemeClr val="dk1"/>
              </a:solidFill>
              <a:effectLst/>
              <a:latin typeface="+mn-lt"/>
              <a:ea typeface="+mn-ea"/>
              <a:cs typeface="Aparajita" panose="020B0604020202020204" pitchFamily="34" charset="0"/>
            </a:rPr>
            <a:t> T12, que corresponderá al saldo de Tesorería en el inicio del 2º ejercicio.</a:t>
          </a:r>
          <a:r>
            <a:rPr lang="es-ES" sz="900">
              <a:solidFill>
                <a:schemeClr val="dk1"/>
              </a:solidFill>
              <a:effectLst/>
              <a:latin typeface="+mn-lt"/>
              <a:ea typeface="+mn-ea"/>
              <a:cs typeface="Aparajita" panose="020B0604020202020204" pitchFamily="34" charset="0"/>
            </a:rPr>
            <a:t> Y si en algún/os mes/es dicho/s saldo/s aparece/n negativo/s, debe preverse y reflejarse en este PF medidas correctoras para hacer desaparecer ese/os déficit/s de tesorería.</a:t>
          </a:r>
        </a:p>
        <a:p>
          <a:pPr>
            <a:lnSpc>
              <a:spcPct val="100000"/>
            </a:lnSpc>
            <a:spcBef>
              <a:spcPts val="0"/>
            </a:spcBef>
            <a:spcAft>
              <a:spcPts val="0"/>
            </a:spcAft>
          </a:pPr>
          <a:endParaRPr lang="es-ES" sz="900">
            <a:solidFill>
              <a:schemeClr val="dk1"/>
            </a:solidFill>
            <a:effectLst/>
            <a:latin typeface="+mn-lt"/>
            <a:ea typeface="+mn-ea"/>
            <a:cs typeface="Aparajita" panose="020B0604020202020204" pitchFamily="34" charset="0"/>
            <a:sym typeface="Marlett" pitchFamily="2" charset="2"/>
          </a:endParaRP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sym typeface="Marlett" pitchFamily="2" charset="2"/>
            </a:rPr>
            <a:t>• Para que esta hoja quede completada,</a:t>
          </a:r>
          <a:r>
            <a:rPr lang="es-ES" sz="900" baseline="0">
              <a:solidFill>
                <a:schemeClr val="dk1"/>
              </a:solidFill>
              <a:effectLst/>
              <a:latin typeface="+mn-lt"/>
              <a:ea typeface="+mn-ea"/>
              <a:cs typeface="Aparajita" panose="020B0604020202020204" pitchFamily="34" charset="0"/>
              <a:sym typeface="Marlett" pitchFamily="2" charset="2"/>
            </a:rPr>
            <a:t> hay que</a:t>
          </a:r>
          <a:r>
            <a:rPr lang="es-ES" sz="900">
              <a:solidFill>
                <a:schemeClr val="dk1"/>
              </a:solidFill>
              <a:effectLst/>
              <a:latin typeface="+mn-lt"/>
              <a:ea typeface="+mn-ea"/>
              <a:cs typeface="Aparajita" panose="020B0604020202020204" pitchFamily="34" charset="0"/>
            </a:rPr>
            <a:t> tener en cuenta que:</a:t>
          </a:r>
        </a:p>
        <a:p>
          <a:pPr>
            <a:lnSpc>
              <a:spcPct val="100000"/>
            </a:lnSpc>
            <a:spcBef>
              <a:spcPts val="0"/>
            </a:spcBef>
            <a:spcAft>
              <a:spcPts val="0"/>
            </a:spcAft>
          </a:pPr>
          <a:endParaRPr lang="es-ES" sz="900">
            <a:effectLst/>
            <a:latin typeface="+mn-lt"/>
          </a:endParaRPr>
        </a:p>
        <a:p>
          <a:pPr>
            <a:lnSpc>
              <a:spcPct val="100000"/>
            </a:lnSpc>
            <a:spcBef>
              <a:spcPts val="0"/>
            </a:spcBef>
            <a:spcAft>
              <a:spcPts val="0"/>
            </a:spcAft>
          </a:pPr>
          <a:r>
            <a:rPr lang="es-ES" sz="900">
              <a:solidFill>
                <a:schemeClr val="dk1"/>
              </a:solidFill>
              <a:effectLst/>
              <a:latin typeface="+mn-lt"/>
              <a:ea typeface="+mn-ea"/>
              <a:cs typeface="+mn-cs"/>
              <a:sym typeface="Marlett" pitchFamily="2" charset="2"/>
            </a:rPr>
            <a:t></a:t>
          </a:r>
          <a:r>
            <a:rPr lang="es-ES" sz="900">
              <a:solidFill>
                <a:schemeClr val="dk1"/>
              </a:solidFill>
              <a:effectLst/>
              <a:latin typeface="+mn-lt"/>
              <a:ea typeface="+mn-ea"/>
              <a:cs typeface="Aparajita" panose="020B0604020202020204" pitchFamily="34" charset="0"/>
            </a:rPr>
            <a:t>Cuando se</a:t>
          </a:r>
          <a:r>
            <a:rPr lang="es-ES" sz="900" baseline="0">
              <a:solidFill>
                <a:schemeClr val="dk1"/>
              </a:solidFill>
              <a:effectLst/>
              <a:latin typeface="+mn-lt"/>
              <a:ea typeface="+mn-ea"/>
              <a:cs typeface="Aparajita" panose="020B0604020202020204" pitchFamily="34" charset="0"/>
            </a:rPr>
            <a:t> abra</a:t>
          </a:r>
          <a:r>
            <a:rPr lang="es-ES" sz="900">
              <a:solidFill>
                <a:schemeClr val="dk1"/>
              </a:solidFill>
              <a:effectLst/>
              <a:latin typeface="+mn-lt"/>
              <a:ea typeface="+mn-ea"/>
              <a:cs typeface="Aparajita" panose="020B0604020202020204" pitchFamily="34" charset="0"/>
            </a:rPr>
            <a:t> esta </a:t>
          </a:r>
          <a:r>
            <a:rPr lang="es-ES" sz="900" b="1">
              <a:solidFill>
                <a:schemeClr val="dk1"/>
              </a:solidFill>
              <a:effectLst/>
              <a:latin typeface="+mn-lt"/>
              <a:ea typeface="+mn-ea"/>
              <a:cs typeface="Aparajita" panose="020B0604020202020204" pitchFamily="34" charset="0"/>
            </a:rPr>
            <a:t>hoja 8</a:t>
          </a:r>
          <a:r>
            <a:rPr lang="es-ES" sz="900">
              <a:solidFill>
                <a:schemeClr val="dk1"/>
              </a:solidFill>
              <a:effectLst/>
              <a:latin typeface="+mn-lt"/>
              <a:ea typeface="+mn-ea"/>
              <a:cs typeface="Aparajita" panose="020B0604020202020204" pitchFamily="34" charset="0"/>
            </a:rPr>
            <a:t>, nos</a:t>
          </a:r>
          <a:r>
            <a:rPr lang="es-ES" sz="900" baseline="0">
              <a:solidFill>
                <a:schemeClr val="dk1"/>
              </a:solidFill>
              <a:effectLst/>
              <a:latin typeface="+mn-lt"/>
              <a:ea typeface="+mn-ea"/>
              <a:cs typeface="Aparajita" panose="020B0604020202020204" pitchFamily="34" charset="0"/>
            </a:rPr>
            <a:t> encontraremos </a:t>
          </a:r>
          <a:r>
            <a:rPr lang="es-ES" sz="900">
              <a:solidFill>
                <a:schemeClr val="dk1"/>
              </a:solidFill>
              <a:effectLst/>
              <a:latin typeface="+mn-lt"/>
              <a:ea typeface="+mn-ea"/>
              <a:cs typeface="Aparajita" panose="020B0604020202020204" pitchFamily="34" charset="0"/>
            </a:rPr>
            <a:t>con que</a:t>
          </a:r>
          <a:r>
            <a:rPr lang="es-ES" sz="900" baseline="0">
              <a:solidFill>
                <a:schemeClr val="dk1"/>
              </a:solidFill>
              <a:effectLst/>
              <a:latin typeface="+mn-lt"/>
              <a:ea typeface="+mn-ea"/>
              <a:cs typeface="Aparajita" panose="020B0604020202020204" pitchFamily="34" charset="0"/>
            </a:rPr>
            <a:t> está ya, o casi, </a:t>
          </a:r>
          <a:r>
            <a:rPr lang="es-ES" sz="900">
              <a:solidFill>
                <a:schemeClr val="dk1"/>
              </a:solidFill>
              <a:effectLst/>
              <a:latin typeface="+mn-lt"/>
              <a:ea typeface="+mn-ea"/>
              <a:cs typeface="Aparajita" panose="020B0604020202020204" pitchFamily="34" charset="0"/>
            </a:rPr>
            <a:t>confeccionado (ya que los datos se obtienen de forma automática, debido a la información introducida en hojas previas),</a:t>
          </a:r>
          <a:r>
            <a:rPr lang="es-ES" sz="900" baseline="0">
              <a:solidFill>
                <a:schemeClr val="dk1"/>
              </a:solidFill>
              <a:effectLst/>
              <a:latin typeface="+mn-lt"/>
              <a:ea typeface="+mn-ea"/>
              <a:cs typeface="Aparajita" panose="020B0604020202020204" pitchFamily="34" charset="0"/>
            </a:rPr>
            <a:t> aunque quizás falte hacer algunos reajustes, como los siguientes:</a:t>
          </a:r>
          <a:endParaRPr lang="es-ES" sz="900">
            <a:solidFill>
              <a:schemeClr val="dk1"/>
            </a:solidFill>
            <a:effectLst/>
            <a:latin typeface="+mn-lt"/>
            <a:ea typeface="+mn-ea"/>
            <a:cs typeface="Aparajita" panose="020B0604020202020204" pitchFamily="34" charset="0"/>
          </a:endParaRP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En el supuesto de que alguno/os, o todos, los sueldos y salarios del/os socios-emprendedor/es</a:t>
          </a:r>
          <a:r>
            <a:rPr lang="es-ES" sz="900" baseline="0">
              <a:solidFill>
                <a:schemeClr val="dk1"/>
              </a:solidFill>
              <a:effectLst/>
              <a:latin typeface="+mn-lt"/>
              <a:ea typeface="+mn-ea"/>
              <a:cs typeface="Aparajita" panose="020B0604020202020204" pitchFamily="34" charset="0"/>
            </a:rPr>
            <a:t> </a:t>
          </a:r>
          <a:r>
            <a:rPr lang="es-ES" sz="900">
              <a:solidFill>
                <a:schemeClr val="dk1"/>
              </a:solidFill>
              <a:effectLst/>
              <a:latin typeface="+mn-lt"/>
              <a:ea typeface="+mn-ea"/>
              <a:cs typeface="Aparajita" panose="020B0604020202020204" pitchFamily="34" charset="0"/>
            </a:rPr>
            <a:t>se dejen de pagar durante unos meses, para así poder hacer frente al resto de los pagos</a:t>
          </a:r>
          <a:r>
            <a:rPr lang="es-ES" sz="900" baseline="0">
              <a:solidFill>
                <a:schemeClr val="dk1"/>
              </a:solidFill>
              <a:effectLst/>
              <a:latin typeface="+mn-lt"/>
              <a:ea typeface="+mn-ea"/>
              <a:cs typeface="Aparajita" panose="020B0604020202020204" pitchFamily="34" charset="0"/>
            </a:rPr>
            <a:t> y con ellos</a:t>
          </a:r>
          <a:r>
            <a:rPr lang="es-ES" sz="900">
              <a:solidFill>
                <a:schemeClr val="dk1"/>
              </a:solidFill>
              <a:effectLst/>
              <a:latin typeface="+mn-lt"/>
              <a:ea typeface="+mn-ea"/>
              <a:cs typeface="Aparajita" panose="020B0604020202020204" pitchFamily="34" charset="0"/>
            </a:rPr>
            <a:t> solucionar posibles problemas de Tesorería, hay</a:t>
          </a:r>
          <a:r>
            <a:rPr lang="es-ES" sz="900" baseline="0">
              <a:solidFill>
                <a:schemeClr val="dk1"/>
              </a:solidFill>
              <a:effectLst/>
              <a:latin typeface="+mn-lt"/>
              <a:ea typeface="+mn-ea"/>
              <a:cs typeface="Aparajita" panose="020B0604020202020204" pitchFamily="34" charset="0"/>
            </a:rPr>
            <a:t> que situarse</a:t>
          </a:r>
          <a:r>
            <a:rPr lang="es-ES" sz="900">
              <a:solidFill>
                <a:schemeClr val="dk1"/>
              </a:solidFill>
              <a:effectLst/>
              <a:latin typeface="+mn-lt"/>
              <a:ea typeface="+mn-ea"/>
              <a:cs typeface="Aparajita" panose="020B0604020202020204" pitchFamily="34" charset="0"/>
            </a:rPr>
            <a:t> en la/s celda/s de la fila 21 y, en el/os mes/es que sea necesario, restarle al importe de Sueldos y Salarios (del Periodo en Curso) la cantidad conveniente. </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Si antes de acabar el ejercicio en</a:t>
          </a:r>
          <a:r>
            <a:rPr lang="es-ES" sz="900" baseline="0">
              <a:solidFill>
                <a:schemeClr val="dk1"/>
              </a:solidFill>
              <a:effectLst/>
              <a:latin typeface="+mn-lt"/>
              <a:ea typeface="+mn-ea"/>
              <a:cs typeface="Aparajita" panose="020B0604020202020204" pitchFamily="34" charset="0"/>
            </a:rPr>
            <a:t> </a:t>
          </a:r>
          <a:r>
            <a:rPr lang="es-ES" sz="900">
              <a:solidFill>
                <a:schemeClr val="dk1"/>
              </a:solidFill>
              <a:effectLst/>
              <a:latin typeface="+mn-lt"/>
              <a:ea typeface="+mn-ea"/>
              <a:cs typeface="Aparajita" panose="020B0604020202020204" pitchFamily="34" charset="0"/>
            </a:rPr>
            <a:t>el Saldo Final - Tesorería Periodo Siguiente, (fila 52) - hay Tesorería positiva suficiente para reembolsar el/los importe/s de Sueldos y Salarios restados en las celdas de la fila 21, colocar el cursor en la/s celda/s apropiada/s de esa misma fila 21, y sumarle alguno/s, o todos, los importe/s restados. </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Si no se</a:t>
          </a:r>
          <a:r>
            <a:rPr lang="es-ES" sz="900" baseline="0">
              <a:solidFill>
                <a:schemeClr val="dk1"/>
              </a:solidFill>
              <a:effectLst/>
              <a:latin typeface="+mn-lt"/>
              <a:ea typeface="+mn-ea"/>
              <a:cs typeface="Aparajita" panose="020B0604020202020204" pitchFamily="34" charset="0"/>
            </a:rPr>
            <a:t> suman</a:t>
          </a:r>
          <a:r>
            <a:rPr lang="es-ES" sz="900">
              <a:solidFill>
                <a:schemeClr val="dk1"/>
              </a:solidFill>
              <a:effectLst/>
              <a:latin typeface="+mn-lt"/>
              <a:ea typeface="+mn-ea"/>
              <a:cs typeface="Aparajita" panose="020B0604020202020204" pitchFamily="34" charset="0"/>
            </a:rPr>
            <a:t> dichos importes restados a</a:t>
          </a:r>
          <a:r>
            <a:rPr lang="es-ES" sz="900" baseline="0">
              <a:solidFill>
                <a:schemeClr val="dk1"/>
              </a:solidFill>
              <a:effectLst/>
              <a:latin typeface="+mn-lt"/>
              <a:ea typeface="+mn-ea"/>
              <a:cs typeface="Aparajita" panose="020B0604020202020204" pitchFamily="34" charset="0"/>
            </a:rPr>
            <a:t> lo largo del primer y/o segundo ejercicio, la suma de dichos importes quedará pendiente de pago para los siguientes ejercicios. </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Lo explicado</a:t>
          </a:r>
          <a:r>
            <a:rPr lang="es-ES" sz="900" baseline="0">
              <a:solidFill>
                <a:schemeClr val="dk1"/>
              </a:solidFill>
              <a:effectLst/>
              <a:latin typeface="+mn-lt"/>
              <a:ea typeface="+mn-ea"/>
              <a:cs typeface="Aparajita" panose="020B0604020202020204" pitchFamily="34" charset="0"/>
            </a:rPr>
            <a:t> en el párrafo anterior se puede trasladar al elemento de la fila 33, siempre y cuando el Alquiler del Local de Trabajo (reflejado en Arrendamientos y Cánones) sea propiedad del entorno de los emprendedores-socios y tengan la posibilidad de retrasar, o no pagar, durante algunos meses, dicho alquiler. </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Si en la </a:t>
          </a:r>
          <a:r>
            <a:rPr lang="es-ES" sz="900" b="1">
              <a:solidFill>
                <a:schemeClr val="dk1"/>
              </a:solidFill>
              <a:effectLst/>
              <a:latin typeface="+mn-lt"/>
              <a:ea typeface="+mn-ea"/>
              <a:cs typeface="Aparajita" panose="020B0604020202020204" pitchFamily="34" charset="0"/>
            </a:rPr>
            <a:t>hoja 7</a:t>
          </a:r>
          <a:r>
            <a:rPr lang="es-ES" sz="900">
              <a:solidFill>
                <a:schemeClr val="dk1"/>
              </a:solidFill>
              <a:effectLst/>
              <a:latin typeface="+mn-lt"/>
              <a:ea typeface="+mn-ea"/>
              <a:cs typeface="Aparajita" panose="020B0604020202020204" pitchFamily="34" charset="0"/>
            </a:rPr>
            <a:t> se</a:t>
          </a:r>
          <a:r>
            <a:rPr lang="es-ES" sz="900" baseline="0">
              <a:solidFill>
                <a:schemeClr val="dk1"/>
              </a:solidFill>
              <a:effectLst/>
              <a:latin typeface="+mn-lt"/>
              <a:ea typeface="+mn-ea"/>
              <a:cs typeface="Aparajita" panose="020B0604020202020204" pitchFamily="34" charset="0"/>
            </a:rPr>
            <a:t> ha reflejado como forma de financiación "Préstamo de socios, familiares y amigos", y llegados a esta hoja detectamos que hay saldo de Tesorería (fila 52) para reembolsar todo o parte de esta Deuda; hay que colocarse en la/s celda/s de la fila 43 y reflejar el reembolso.</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Lo que no se</a:t>
          </a:r>
          <a:r>
            <a:rPr lang="es-ES" sz="900" baseline="0">
              <a:solidFill>
                <a:schemeClr val="dk1"/>
              </a:solidFill>
              <a:effectLst/>
              <a:latin typeface="+mn-lt"/>
              <a:ea typeface="+mn-ea"/>
              <a:cs typeface="Aparajita" panose="020B0604020202020204" pitchFamily="34" charset="0"/>
            </a:rPr>
            <a:t> reembolse</a:t>
          </a:r>
          <a:r>
            <a:rPr lang="es-ES" sz="900">
              <a:solidFill>
                <a:schemeClr val="dk1"/>
              </a:solidFill>
              <a:effectLst/>
              <a:latin typeface="+mn-lt"/>
              <a:ea typeface="+mn-ea"/>
              <a:cs typeface="Aparajita" panose="020B0604020202020204" pitchFamily="34" charset="0"/>
            </a:rPr>
            <a:t> en el primer ejercicio y/o en el segundo, quedará pendiente para ejercicios posteriores.</a:t>
          </a:r>
        </a:p>
        <a:p>
          <a:pPr>
            <a:lnSpc>
              <a:spcPct val="100000"/>
            </a:lnSpc>
            <a:spcBef>
              <a:spcPts val="0"/>
            </a:spcBef>
            <a:spcAft>
              <a:spcPts val="0"/>
            </a:spcAft>
          </a:pPr>
          <a:endParaRPr lang="es-ES" sz="900">
            <a:solidFill>
              <a:schemeClr val="dk1"/>
            </a:solidFill>
            <a:effectLst/>
            <a:latin typeface="+mn-lt"/>
            <a:ea typeface="+mn-ea"/>
            <a:cs typeface="Aparajita" panose="020B0604020202020204" pitchFamily="34" charset="0"/>
          </a:endParaRP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Si en la </a:t>
          </a:r>
          <a:r>
            <a:rPr lang="es-ES" sz="900" b="1">
              <a:solidFill>
                <a:schemeClr val="dk1"/>
              </a:solidFill>
              <a:effectLst/>
              <a:latin typeface="+mn-lt"/>
              <a:ea typeface="+mn-ea"/>
              <a:cs typeface="Aparajita" panose="020B0604020202020204" pitchFamily="34" charset="0"/>
            </a:rPr>
            <a:t>hoja 7</a:t>
          </a:r>
          <a:r>
            <a:rPr lang="es-ES" sz="900">
              <a:solidFill>
                <a:schemeClr val="dk1"/>
              </a:solidFill>
              <a:effectLst/>
              <a:latin typeface="+mn-lt"/>
              <a:ea typeface="+mn-ea"/>
              <a:cs typeface="Aparajita" panose="020B0604020202020204" pitchFamily="34" charset="0"/>
            </a:rPr>
            <a:t> se ha indicado</a:t>
          </a:r>
          <a:r>
            <a:rPr lang="es-ES" sz="900" baseline="0">
              <a:solidFill>
                <a:schemeClr val="dk1"/>
              </a:solidFill>
              <a:effectLst/>
              <a:latin typeface="+mn-lt"/>
              <a:ea typeface="+mn-ea"/>
              <a:cs typeface="Aparajita" panose="020B0604020202020204" pitchFamily="34" charset="0"/>
            </a:rPr>
            <a:t> que habrá </a:t>
          </a:r>
          <a:r>
            <a:rPr lang="es-ES" sz="900" b="1" baseline="0">
              <a:solidFill>
                <a:schemeClr val="dk1"/>
              </a:solidFill>
              <a:effectLst/>
              <a:latin typeface="+mn-lt"/>
              <a:ea typeface="+mn-ea"/>
              <a:cs typeface="Aparajita" panose="020B0604020202020204" pitchFamily="34" charset="0"/>
            </a:rPr>
            <a:t>entradas de Financiación destinadas a Tesorería</a:t>
          </a:r>
          <a:r>
            <a:rPr lang="es-ES" sz="900" baseline="0">
              <a:solidFill>
                <a:schemeClr val="dk1"/>
              </a:solidFill>
              <a:effectLst/>
              <a:latin typeface="+mn-lt"/>
              <a:ea typeface="+mn-ea"/>
              <a:cs typeface="Aparajita" panose="020B0604020202020204" pitchFamily="34" charset="0"/>
            </a:rPr>
            <a:t>, aparecerá coloreadas en rojo las celdas de la fila 9 (N y AE) (para 1º y 2º ejercicios) de esta hoja. En este caso habrá que reflejar dicha/s entrada/s en la/s celda/s de la fila 16. </a:t>
          </a:r>
        </a:p>
        <a:p>
          <a:pPr>
            <a:lnSpc>
              <a:spcPct val="100000"/>
            </a:lnSpc>
            <a:spcBef>
              <a:spcPts val="0"/>
            </a:spcBef>
            <a:spcAft>
              <a:spcPts val="0"/>
            </a:spcAft>
          </a:pPr>
          <a:endParaRPr lang="es-ES" sz="900" baseline="0">
            <a:solidFill>
              <a:schemeClr val="dk1"/>
            </a:solidFill>
            <a:effectLst/>
            <a:latin typeface="+mn-lt"/>
            <a:ea typeface="+mn-ea"/>
            <a:cs typeface="Aparajita" panose="020B0604020202020204" pitchFamily="34" charset="0"/>
          </a:endParaRPr>
        </a:p>
        <a:p>
          <a:pPr>
            <a:lnSpc>
              <a:spcPct val="100000"/>
            </a:lnSpc>
            <a:spcBef>
              <a:spcPts val="0"/>
            </a:spcBef>
            <a:spcAft>
              <a:spcPts val="0"/>
            </a:spcAft>
          </a:pPr>
          <a:r>
            <a:rPr lang="es-ES" sz="900" baseline="0">
              <a:solidFill>
                <a:schemeClr val="dk1"/>
              </a:solidFill>
              <a:effectLst/>
              <a:latin typeface="+mn-lt"/>
              <a:ea typeface="+mn-ea"/>
              <a:cs typeface="Aparajita" panose="020B0604020202020204" pitchFamily="34" charset="0"/>
            </a:rPr>
            <a:t>- Si en la </a:t>
          </a:r>
          <a:r>
            <a:rPr lang="es-ES" sz="900" b="1" baseline="0">
              <a:solidFill>
                <a:schemeClr val="dk1"/>
              </a:solidFill>
              <a:effectLst/>
              <a:latin typeface="+mn-lt"/>
              <a:ea typeface="+mn-ea"/>
              <a:cs typeface="Aparajita" panose="020B0604020202020204" pitchFamily="34" charset="0"/>
            </a:rPr>
            <a:t>hoja 7</a:t>
          </a:r>
          <a:r>
            <a:rPr lang="es-ES" sz="900" baseline="0">
              <a:solidFill>
                <a:schemeClr val="dk1"/>
              </a:solidFill>
              <a:effectLst/>
              <a:latin typeface="+mn-lt"/>
              <a:ea typeface="+mn-ea"/>
              <a:cs typeface="Aparajita" panose="020B0604020202020204" pitchFamily="34" charset="0"/>
            </a:rPr>
            <a:t> se ha indicado que habrá </a:t>
          </a:r>
          <a:r>
            <a:rPr lang="es-ES" sz="900" b="1" baseline="0">
              <a:solidFill>
                <a:schemeClr val="dk1"/>
              </a:solidFill>
              <a:effectLst/>
              <a:latin typeface="+mn-lt"/>
              <a:ea typeface="+mn-ea"/>
              <a:cs typeface="Aparajita" panose="020B0604020202020204" pitchFamily="34" charset="0"/>
            </a:rPr>
            <a:t>salidas de Tesorería para pagar las Inversiones adquiridas</a:t>
          </a:r>
          <a:r>
            <a:rPr lang="es-ES" sz="900" baseline="0">
              <a:solidFill>
                <a:schemeClr val="dk1"/>
              </a:solidFill>
              <a:effectLst/>
              <a:latin typeface="+mn-lt"/>
              <a:ea typeface="+mn-ea"/>
              <a:cs typeface="Aparajita" panose="020B0604020202020204" pitchFamily="34" charset="0"/>
            </a:rPr>
            <a:t>, aparecerá en rojo las celdas de la fila 9 (H e Y) (1º y 2º ejercicios respectivamente) de esta hoja. En este caso habrá que escribr dicha/s salida/s en la/s celda/s de la fila 45.</a:t>
          </a:r>
          <a:endParaRPr lang="es-ES" sz="900">
            <a:solidFill>
              <a:schemeClr val="dk1"/>
            </a:solidFill>
            <a:effectLst/>
            <a:latin typeface="+mn-lt"/>
            <a:ea typeface="+mn-ea"/>
            <a:cs typeface="Aparajita" panose="020B0604020202020204" pitchFamily="34" charset="0"/>
          </a:endParaRP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La previsión para las liquidaciones del IVA, fila 49, se realizará por trimestres. Si la</a:t>
          </a:r>
          <a:r>
            <a:rPr lang="es-ES" sz="900" baseline="0">
              <a:solidFill>
                <a:schemeClr val="dk1"/>
              </a:solidFill>
              <a:effectLst/>
              <a:latin typeface="+mn-lt"/>
              <a:ea typeface="+mn-ea"/>
              <a:cs typeface="Aparajita" panose="020B0604020202020204" pitchFamily="34" charset="0"/>
            </a:rPr>
            <a:t> obligación de la empresa es hacerla por</a:t>
          </a:r>
          <a:r>
            <a:rPr lang="es-ES" sz="900">
              <a:solidFill>
                <a:schemeClr val="dk1"/>
              </a:solidFill>
              <a:effectLst/>
              <a:latin typeface="+mn-lt"/>
              <a:ea typeface="+mn-ea"/>
              <a:cs typeface="Aparajita" panose="020B0604020202020204" pitchFamily="34" charset="0"/>
            </a:rPr>
            <a:t> meses, hay que cambiar la fórmula.</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a:t>
          </a:r>
        </a:p>
        <a:p>
          <a:pPr>
            <a:lnSpc>
              <a:spcPct val="100000"/>
            </a:lnSpc>
            <a:spcBef>
              <a:spcPts val="0"/>
            </a:spcBef>
            <a:spcAft>
              <a:spcPts val="0"/>
            </a:spcAft>
          </a:pPr>
          <a:r>
            <a:rPr lang="es-ES" sz="900">
              <a:solidFill>
                <a:schemeClr val="bg1">
                  <a:lumMod val="50000"/>
                </a:schemeClr>
              </a:solidFill>
              <a:effectLst/>
              <a:latin typeface="+mn-lt"/>
              <a:ea typeface="+mn-ea"/>
              <a:cs typeface="Aparajita" panose="020B0604020202020204" pitchFamily="34" charset="0"/>
              <a:sym typeface="Marlett" pitchFamily="2" charset="2"/>
            </a:rPr>
            <a:t></a:t>
          </a:r>
          <a:r>
            <a:rPr lang="es-ES" sz="900">
              <a:solidFill>
                <a:schemeClr val="bg1">
                  <a:lumMod val="50000"/>
                </a:schemeClr>
              </a:solidFill>
              <a:effectLst/>
              <a:latin typeface="+mn-lt"/>
              <a:ea typeface="+mn-ea"/>
              <a:cs typeface="Aparajita" panose="020B0604020202020204" pitchFamily="34" charset="0"/>
            </a:rPr>
            <a:t>En el supuesto de que aparezcan déficits de Tesorería (saldos negativos en una, alguna o todas las celdas de la fila 52) y puedan ser cubiertos mediante Pólizas de Crédito, se</a:t>
          </a:r>
          <a:r>
            <a:rPr lang="es-ES" sz="900" baseline="0">
              <a:solidFill>
                <a:schemeClr val="bg1">
                  <a:lumMod val="50000"/>
                </a:schemeClr>
              </a:solidFill>
              <a:effectLst/>
              <a:latin typeface="+mn-lt"/>
              <a:ea typeface="+mn-ea"/>
              <a:cs typeface="Aparajita" panose="020B0604020202020204" pitchFamily="34" charset="0"/>
            </a:rPr>
            <a:t> puede</a:t>
          </a:r>
          <a:r>
            <a:rPr lang="es-ES" sz="900">
              <a:solidFill>
                <a:schemeClr val="bg1">
                  <a:lumMod val="50000"/>
                </a:schemeClr>
              </a:solidFill>
              <a:effectLst/>
              <a:latin typeface="+mn-lt"/>
              <a:ea typeface="+mn-ea"/>
              <a:cs typeface="Aparajita" panose="020B0604020202020204" pitchFamily="34" charset="0"/>
            </a:rPr>
            <a:t> utilizar el cuadro de abajo (celdas de las filas 54 a 60). </a:t>
          </a:r>
        </a:p>
        <a:p>
          <a:pPr>
            <a:lnSpc>
              <a:spcPct val="100000"/>
            </a:lnSpc>
            <a:spcBef>
              <a:spcPts val="0"/>
            </a:spcBef>
            <a:spcAft>
              <a:spcPts val="0"/>
            </a:spcAft>
          </a:pPr>
          <a:r>
            <a:rPr lang="es-ES" sz="900">
              <a:solidFill>
                <a:schemeClr val="bg1">
                  <a:lumMod val="50000"/>
                </a:schemeClr>
              </a:solidFill>
              <a:effectLst/>
              <a:latin typeface="+mn-lt"/>
              <a:ea typeface="+mn-ea"/>
              <a:cs typeface="Aparajita" panose="020B0604020202020204" pitchFamily="34" charset="0"/>
            </a:rPr>
            <a:t> </a:t>
          </a:r>
        </a:p>
        <a:p>
          <a:pPr>
            <a:lnSpc>
              <a:spcPct val="100000"/>
            </a:lnSpc>
            <a:spcBef>
              <a:spcPts val="0"/>
            </a:spcBef>
            <a:spcAft>
              <a:spcPts val="0"/>
            </a:spcAft>
          </a:pPr>
          <a:r>
            <a:rPr lang="es-ES" sz="900">
              <a:solidFill>
                <a:schemeClr val="bg1">
                  <a:lumMod val="50000"/>
                </a:schemeClr>
              </a:solidFill>
              <a:effectLst/>
              <a:latin typeface="+mn-lt"/>
              <a:ea typeface="+mn-ea"/>
              <a:cs typeface="Aparajita" panose="020B0604020202020204" pitchFamily="34" charset="0"/>
            </a:rPr>
            <a:t>En dicho</a:t>
          </a:r>
          <a:r>
            <a:rPr lang="es-ES" sz="900" baseline="0">
              <a:solidFill>
                <a:schemeClr val="bg1">
                  <a:lumMod val="50000"/>
                </a:schemeClr>
              </a:solidFill>
              <a:effectLst/>
              <a:latin typeface="+mn-lt"/>
              <a:ea typeface="+mn-ea"/>
              <a:cs typeface="Aparajita" panose="020B0604020202020204" pitchFamily="34" charset="0"/>
            </a:rPr>
            <a:t> cuadro se puede</a:t>
          </a:r>
          <a:r>
            <a:rPr lang="es-ES" sz="900">
              <a:solidFill>
                <a:schemeClr val="bg1">
                  <a:lumMod val="50000"/>
                </a:schemeClr>
              </a:solidFill>
              <a:effectLst/>
              <a:latin typeface="+mn-lt"/>
              <a:ea typeface="+mn-ea"/>
              <a:cs typeface="Aparajita" panose="020B0604020202020204" pitchFamily="34" charset="0"/>
            </a:rPr>
            <a:t> determinar en qué meses se</a:t>
          </a:r>
          <a:r>
            <a:rPr lang="es-ES" sz="900" baseline="0">
              <a:solidFill>
                <a:schemeClr val="bg1">
                  <a:lumMod val="50000"/>
                </a:schemeClr>
              </a:solidFill>
              <a:effectLst/>
              <a:latin typeface="+mn-lt"/>
              <a:ea typeface="+mn-ea"/>
              <a:cs typeface="Aparajita" panose="020B0604020202020204" pitchFamily="34" charset="0"/>
            </a:rPr>
            <a:t> necesita</a:t>
          </a:r>
          <a:r>
            <a:rPr lang="es-ES" sz="900">
              <a:solidFill>
                <a:schemeClr val="bg1">
                  <a:lumMod val="50000"/>
                </a:schemeClr>
              </a:solidFill>
              <a:effectLst/>
              <a:latin typeface="+mn-lt"/>
              <a:ea typeface="+mn-ea"/>
              <a:cs typeface="Aparajita" panose="020B0604020202020204" pitchFamily="34" charset="0"/>
            </a:rPr>
            <a:t> disponer del Crédito y en qué meses puede</a:t>
          </a:r>
          <a:r>
            <a:rPr lang="es-ES" sz="900" baseline="0">
              <a:solidFill>
                <a:schemeClr val="bg1">
                  <a:lumMod val="50000"/>
                </a:schemeClr>
              </a:solidFill>
              <a:effectLst/>
              <a:latin typeface="+mn-lt"/>
              <a:ea typeface="+mn-ea"/>
              <a:cs typeface="Aparajita" panose="020B0604020202020204" pitchFamily="34" charset="0"/>
            </a:rPr>
            <a:t> reembolsarse</a:t>
          </a:r>
          <a:r>
            <a:rPr lang="es-ES" sz="900">
              <a:solidFill>
                <a:schemeClr val="bg1">
                  <a:lumMod val="50000"/>
                </a:schemeClr>
              </a:solidFill>
              <a:effectLst/>
              <a:latin typeface="+mn-lt"/>
              <a:ea typeface="+mn-ea"/>
              <a:cs typeface="Aparajita" panose="020B0604020202020204" pitchFamily="34" charset="0"/>
            </a:rPr>
            <a:t>, calculando así el coste financiero (celdas de la fila 60) por el Crédito dispuesto, durante el tiempo de disposición.</a:t>
          </a:r>
        </a:p>
        <a:p>
          <a:pPr>
            <a:lnSpc>
              <a:spcPct val="100000"/>
            </a:lnSpc>
            <a:spcBef>
              <a:spcPts val="0"/>
            </a:spcBef>
            <a:spcAft>
              <a:spcPts val="0"/>
            </a:spcAft>
          </a:pPr>
          <a:r>
            <a:rPr lang="es-ES" sz="900">
              <a:solidFill>
                <a:schemeClr val="bg1">
                  <a:lumMod val="50000"/>
                </a:schemeClr>
              </a:solidFill>
              <a:effectLst/>
              <a:latin typeface="+mn-lt"/>
              <a:ea typeface="+mn-ea"/>
              <a:cs typeface="Aparajita" panose="020B0604020202020204" pitchFamily="34" charset="0"/>
            </a:rPr>
            <a:t>Las disposiciones mensuales que se realicen hay que reflejarlas</a:t>
          </a:r>
          <a:r>
            <a:rPr lang="es-ES" sz="900" baseline="0">
              <a:solidFill>
                <a:schemeClr val="bg1">
                  <a:lumMod val="50000"/>
                </a:schemeClr>
              </a:solidFill>
              <a:effectLst/>
              <a:latin typeface="+mn-lt"/>
              <a:ea typeface="+mn-ea"/>
              <a:cs typeface="Aparajita" panose="020B0604020202020204" pitchFamily="34" charset="0"/>
            </a:rPr>
            <a:t> en las celdas de la fila 57 y los reembolsos en la 58.</a:t>
          </a:r>
        </a:p>
        <a:p>
          <a:pPr>
            <a:lnSpc>
              <a:spcPct val="100000"/>
            </a:lnSpc>
            <a:spcBef>
              <a:spcPts val="0"/>
            </a:spcBef>
            <a:spcAft>
              <a:spcPts val="0"/>
            </a:spcAft>
          </a:pPr>
          <a:r>
            <a:rPr lang="es-ES" sz="900" baseline="0">
              <a:solidFill>
                <a:schemeClr val="bg1">
                  <a:lumMod val="50000"/>
                </a:schemeClr>
              </a:solidFill>
              <a:effectLst/>
              <a:latin typeface="+mn-lt"/>
              <a:ea typeface="+mn-ea"/>
              <a:cs typeface="Aparajita" panose="020B0604020202020204" pitchFamily="34" charset="0"/>
            </a:rPr>
            <a:t>La características de la Línea de Crédito (Interés y Comisión), pueden modificarse.</a:t>
          </a:r>
          <a:endParaRPr lang="es-ES" sz="900">
            <a:solidFill>
              <a:schemeClr val="bg1">
                <a:lumMod val="50000"/>
              </a:schemeClr>
            </a:solidFill>
            <a:effectLst/>
            <a:latin typeface="+mn-lt"/>
            <a:ea typeface="+mn-ea"/>
            <a:cs typeface="Aparajita" panose="020B0604020202020204" pitchFamily="34" charset="0"/>
          </a:endParaRP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a:t>
          </a: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sym typeface="Marlett" pitchFamily="2" charset="2"/>
            </a:rPr>
            <a:t></a:t>
          </a:r>
          <a:r>
            <a:rPr lang="es-ES" sz="800" u="sng">
              <a:solidFill>
                <a:schemeClr val="dk1"/>
              </a:solidFill>
              <a:effectLst/>
              <a:latin typeface="+mn-lt"/>
              <a:ea typeface="+mn-ea"/>
              <a:cs typeface="Aparajita" panose="020B0604020202020204" pitchFamily="34" charset="0"/>
            </a:rPr>
            <a:t>ADVERTENCIA</a:t>
          </a:r>
          <a:r>
            <a:rPr lang="es-ES" sz="800">
              <a:solidFill>
                <a:schemeClr val="dk1"/>
              </a:solidFill>
              <a:effectLst/>
              <a:latin typeface="+mn-lt"/>
              <a:ea typeface="+mn-ea"/>
              <a:cs typeface="Aparajita" panose="020B0604020202020204" pitchFamily="34" charset="0"/>
              <a:sym typeface="Marlett" pitchFamily="2" charset="2"/>
            </a:rPr>
            <a:t></a:t>
          </a:r>
          <a:endParaRPr lang="es-ES" sz="800">
            <a:solidFill>
              <a:schemeClr val="dk1"/>
            </a:solidFill>
            <a:effectLst/>
            <a:latin typeface="+mn-lt"/>
            <a:ea typeface="+mn-ea"/>
            <a:cs typeface="Aparajita" panose="020B0604020202020204" pitchFamily="34" charset="0"/>
          </a:endParaRP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sym typeface="Marlett" pitchFamily="2" charset="2"/>
            </a:rPr>
            <a:t></a:t>
          </a:r>
          <a:r>
            <a:rPr lang="es-ES" sz="800">
              <a:solidFill>
                <a:schemeClr val="dk1"/>
              </a:solidFill>
              <a:effectLst/>
              <a:latin typeface="+mn-lt"/>
              <a:ea typeface="+mn-ea"/>
              <a:cs typeface="Aparajita" panose="020B0604020202020204" pitchFamily="34" charset="0"/>
            </a:rPr>
            <a:t> Tener en cuenta que, si el Saldo Final = Tesorería Periodo Siguiente de algún, algunos o todos los meses aparece negativo, el proyecto tendrá problemas de Liquidez durante los dos primeros ejercicios  económicos. Por lo que hasta que este problema no quede resuelto el proyecto no será viable, ya que la empresa durante el primer año tendría que “dejar de pagar” en algún momento.</a:t>
          </a: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rPr>
            <a:t> </a:t>
          </a: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rPr>
            <a:t>Y que para resolver los problemas de Tesorería, aparte de las opciones que se han mencionado (como suspender el pago de los Sueldos y Salarios de los socios-trabajadores o el Alquiler de un local propio</a:t>
          </a:r>
          <a:r>
            <a:rPr lang="es-ES" sz="800">
              <a:solidFill>
                <a:schemeClr val="bg1">
                  <a:lumMod val="50000"/>
                </a:schemeClr>
              </a:solidFill>
              <a:effectLst/>
              <a:latin typeface="+mn-lt"/>
              <a:ea typeface="+mn-ea"/>
              <a:cs typeface="Aparajita" panose="020B0604020202020204" pitchFamily="34" charset="0"/>
            </a:rPr>
            <a:t>, o solicitar un Crédito a Corto Plazo (como una Póliza de Crédito)), hay otras alternativas. </a:t>
          </a:r>
        </a:p>
        <a:p>
          <a:pPr>
            <a:lnSpc>
              <a:spcPct val="100000"/>
            </a:lnSpc>
            <a:spcBef>
              <a:spcPts val="0"/>
            </a:spcBef>
            <a:spcAft>
              <a:spcPts val="0"/>
            </a:spcAft>
          </a:pPr>
          <a:endParaRPr lang="es-ES" sz="800">
            <a:solidFill>
              <a:schemeClr val="dk1"/>
            </a:solidFill>
            <a:effectLst/>
            <a:latin typeface="+mn-lt"/>
            <a:ea typeface="+mn-ea"/>
            <a:cs typeface="Aparajita" panose="020B0604020202020204" pitchFamily="34" charset="0"/>
          </a:endParaRP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rPr>
            <a:t>Por lo que habrá que revisar los datos de las hojas anteriores y ver si se puede:</a:t>
          </a:r>
        </a:p>
        <a:p>
          <a:pPr>
            <a:lnSpc>
              <a:spcPct val="100000"/>
            </a:lnSpc>
            <a:spcBef>
              <a:spcPts val="0"/>
            </a:spcBef>
            <a:spcAft>
              <a:spcPts val="0"/>
            </a:spcAft>
          </a:pPr>
          <a:endParaRPr lang="es-ES" sz="800">
            <a:solidFill>
              <a:schemeClr val="dk1"/>
            </a:solidFill>
            <a:effectLst/>
            <a:latin typeface="+mn-lt"/>
            <a:ea typeface="+mn-ea"/>
            <a:cs typeface="Aparajita" panose="020B0604020202020204" pitchFamily="34" charset="0"/>
          </a:endParaRP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rPr>
            <a:t>. Incrementar Precios de Venta, o disminuir el Costes Directos Variables, de alguna/s familias (hoja 1),</a:t>
          </a: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rPr>
            <a:t>. Replantear la adquisición de las Inversiones (hoja 7), disminuyéndolas, y/o alquilando algunas de ellas,</a:t>
          </a: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rPr>
            <a:t>. Aportar más Recursos Propios (hoja 7),</a:t>
          </a: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rPr>
            <a:t>. Solicitar mayor importe de Financiación a Largo Plazo (Préstamo) (hoja 7),</a:t>
          </a: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rPr>
            <a:t>.</a:t>
          </a:r>
          <a:r>
            <a:rPr lang="es-ES" sz="800" baseline="0">
              <a:solidFill>
                <a:schemeClr val="dk1"/>
              </a:solidFill>
              <a:effectLst/>
              <a:latin typeface="+mn-lt"/>
              <a:ea typeface="+mn-ea"/>
              <a:cs typeface="Aparajita" panose="020B0604020202020204" pitchFamily="34" charset="0"/>
            </a:rPr>
            <a:t> </a:t>
          </a:r>
          <a:r>
            <a:rPr lang="es-ES" sz="800">
              <a:solidFill>
                <a:schemeClr val="dk1"/>
              </a:solidFill>
              <a:effectLst/>
              <a:latin typeface="+mn-lt"/>
              <a:ea typeface="+mn-ea"/>
              <a:cs typeface="Aparajita" panose="020B0604020202020204" pitchFamily="34" charset="0"/>
            </a:rPr>
            <a:t>Disminuir algún Gasto Fijo (de Estructura) (hoja 4,5y</a:t>
          </a:r>
          <a:r>
            <a:rPr lang="es-ES" sz="800" baseline="0">
              <a:solidFill>
                <a:schemeClr val="dk1"/>
              </a:solidFill>
              <a:effectLst/>
              <a:latin typeface="+mn-lt"/>
              <a:ea typeface="+mn-ea"/>
              <a:cs typeface="Aparajita" panose="020B0604020202020204" pitchFamily="34" charset="0"/>
            </a:rPr>
            <a:t> 6)</a:t>
          </a:r>
          <a:r>
            <a:rPr lang="es-ES" sz="800">
              <a:solidFill>
                <a:schemeClr val="dk1"/>
              </a:solidFill>
              <a:effectLst/>
              <a:latin typeface="+mn-lt"/>
              <a:ea typeface="+mn-ea"/>
              <a:cs typeface="Aparajita" panose="020B0604020202020204" pitchFamily="34" charset="0"/>
            </a:rPr>
            <a:t>,</a:t>
          </a: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rPr>
            <a:t>.</a:t>
          </a:r>
          <a:r>
            <a:rPr lang="es-ES" sz="800" baseline="0">
              <a:solidFill>
                <a:schemeClr val="dk1"/>
              </a:solidFill>
              <a:effectLst/>
              <a:latin typeface="+mn-lt"/>
              <a:ea typeface="+mn-ea"/>
              <a:cs typeface="Aparajita" panose="020B0604020202020204" pitchFamily="34" charset="0"/>
            </a:rPr>
            <a:t> </a:t>
          </a:r>
          <a:r>
            <a:rPr lang="es-ES" sz="800">
              <a:solidFill>
                <a:schemeClr val="dk1"/>
              </a:solidFill>
              <a:effectLst/>
              <a:latin typeface="+mn-lt"/>
              <a:ea typeface="+mn-ea"/>
              <a:cs typeface="Aparajita" panose="020B0604020202020204" pitchFamily="34" charset="0"/>
            </a:rPr>
            <a:t>Disminuir el Crédito a Clientes, en el supuesto de que se prevea vender a crédito, y negociar Mejores Condiciones y Plazos de Pago a los Proveedores y Acreedores (hojas</a:t>
          </a:r>
          <a:r>
            <a:rPr lang="es-ES" sz="800" baseline="0">
              <a:solidFill>
                <a:schemeClr val="dk1"/>
              </a:solidFill>
              <a:effectLst/>
              <a:latin typeface="+mn-lt"/>
              <a:ea typeface="+mn-ea"/>
              <a:cs typeface="Aparajita" panose="020B0604020202020204" pitchFamily="34" charset="0"/>
            </a:rPr>
            <a:t> 2 y 3</a:t>
          </a:r>
          <a:r>
            <a:rPr lang="es-ES" sz="800">
              <a:solidFill>
                <a:schemeClr val="dk1"/>
              </a:solidFill>
              <a:effectLst/>
              <a:latin typeface="+mn-lt"/>
              <a:ea typeface="+mn-ea"/>
              <a:cs typeface="Aparajita" panose="020B0604020202020204" pitchFamily="34" charset="0"/>
            </a:rPr>
            <a:t>).</a:t>
          </a:r>
        </a:p>
        <a:p>
          <a:pPr>
            <a:lnSpc>
              <a:spcPct val="100000"/>
            </a:lnSpc>
            <a:spcBef>
              <a:spcPts val="0"/>
            </a:spcBef>
            <a:spcAft>
              <a:spcPts val="0"/>
            </a:spcAft>
          </a:pPr>
          <a:r>
            <a:rPr lang="es-ES" sz="900">
              <a:solidFill>
                <a:schemeClr val="dk1"/>
              </a:solidFill>
              <a:effectLst/>
              <a:latin typeface="+mn-lt"/>
              <a:ea typeface="+mn-ea"/>
              <a:cs typeface="Aparajita" panose="020B0604020202020204" pitchFamily="34" charset="0"/>
            </a:rPr>
            <a:t> </a:t>
          </a:r>
          <a:endParaRPr lang="es-ES" sz="800">
            <a:solidFill>
              <a:schemeClr val="dk1"/>
            </a:solidFill>
            <a:effectLst/>
            <a:latin typeface="+mn-lt"/>
            <a:ea typeface="+mn-ea"/>
            <a:cs typeface="Aparajita" panose="020B0604020202020204" pitchFamily="34" charset="0"/>
          </a:endParaRPr>
        </a:p>
        <a:p>
          <a:pPr>
            <a:lnSpc>
              <a:spcPct val="100000"/>
            </a:lnSpc>
            <a:spcBef>
              <a:spcPts val="0"/>
            </a:spcBef>
            <a:spcAft>
              <a:spcPts val="0"/>
            </a:spcAft>
          </a:pPr>
          <a:r>
            <a:rPr lang="es-ES" sz="800">
              <a:solidFill>
                <a:schemeClr val="dk1"/>
              </a:solidFill>
              <a:effectLst/>
              <a:latin typeface="+mn-lt"/>
              <a:ea typeface="+mn-ea"/>
              <a:cs typeface="Aparajita" panose="020B0604020202020204" pitchFamily="34" charset="0"/>
            </a:rPr>
            <a:t>Una vez resuelta y saneada la Tesorería de los dos primeros ejercicios  económicos, se considera que la empresa tiene</a:t>
          </a:r>
          <a:r>
            <a:rPr lang="es-ES" sz="800" baseline="0">
              <a:solidFill>
                <a:schemeClr val="dk1"/>
              </a:solidFill>
              <a:effectLst/>
              <a:latin typeface="+mn-lt"/>
              <a:ea typeface="+mn-ea"/>
              <a:cs typeface="Aparajita" panose="020B0604020202020204" pitchFamily="34" charset="0"/>
            </a:rPr>
            <a:t> capacidad para</a:t>
          </a:r>
          <a:r>
            <a:rPr lang="es-ES" sz="800">
              <a:solidFill>
                <a:schemeClr val="dk1"/>
              </a:solidFill>
              <a:effectLst/>
              <a:latin typeface="+mn-lt"/>
              <a:ea typeface="+mn-ea"/>
              <a:cs typeface="Aparajita" panose="020B0604020202020204" pitchFamily="34" charset="0"/>
            </a:rPr>
            <a:t> sobrevivir durante ese periodo de tiempo.</a:t>
          </a:r>
        </a:p>
        <a:p>
          <a:pPr>
            <a:lnSpc>
              <a:spcPts val="600"/>
            </a:lnSpc>
            <a:spcBef>
              <a:spcPts val="100"/>
            </a:spcBef>
            <a:spcAft>
              <a:spcPts val="100"/>
            </a:spcAft>
          </a:pPr>
          <a:endParaRPr lang="es-ES" sz="900">
            <a:latin typeface="Aparajita" panose="020B0604020202020204" pitchFamily="34" charset="0"/>
            <a:cs typeface="Aparajita" panose="020B0604020202020204" pitchFamily="34" charset="0"/>
          </a:endParaRPr>
        </a:p>
      </xdr:txBody>
    </xdr:sp>
    <xdr:clientData/>
  </xdr:twoCellAnchor>
  <xdr:twoCellAnchor>
    <xdr:from>
      <xdr:col>0</xdr:col>
      <xdr:colOff>142874</xdr:colOff>
      <xdr:row>428</xdr:row>
      <xdr:rowOff>63500</xdr:rowOff>
    </xdr:from>
    <xdr:to>
      <xdr:col>3</xdr:col>
      <xdr:colOff>206375</xdr:colOff>
      <xdr:row>438</xdr:row>
      <xdr:rowOff>0</xdr:rowOff>
    </xdr:to>
    <xdr:sp macro="" textlink="">
      <xdr:nvSpPr>
        <xdr:cNvPr id="20" name="CuadroTexto 19">
          <a:extLst>
            <a:ext uri="{FF2B5EF4-FFF2-40B4-BE49-F238E27FC236}">
              <a16:creationId xmlns:a16="http://schemas.microsoft.com/office/drawing/2014/main" id="{00000000-0008-0000-0200-000014000000}"/>
            </a:ext>
          </a:extLst>
        </xdr:cNvPr>
        <xdr:cNvSpPr txBox="1"/>
      </xdr:nvSpPr>
      <xdr:spPr>
        <a:xfrm>
          <a:off x="142874" y="67992625"/>
          <a:ext cx="7675564" cy="1611313"/>
        </a:xfrm>
        <a:prstGeom prst="rect">
          <a:avLst/>
        </a:prstGeom>
        <a:solidFill>
          <a:schemeClr val="bg1">
            <a:lumMod val="85000"/>
          </a:scheme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800"/>
            </a:lnSpc>
            <a:spcBef>
              <a:spcPts val="100"/>
            </a:spcBef>
            <a:spcAft>
              <a:spcPts val="10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mn-lt"/>
              <a:ea typeface="+mn-ea"/>
              <a:cs typeface="Aparajita" panose="020B0604020202020204" pitchFamily="34" charset="0"/>
            </a:rPr>
            <a:t>10. Indicadores (Ej 1º,2º) </a:t>
          </a:r>
          <a:r>
            <a:rPr kumimoji="0" lang="es-ES" sz="900" b="0" i="1" u="none" strike="noStrike" kern="0" cap="none" spc="0" normalizeH="0" baseline="0" noProof="0">
              <a:ln>
                <a:noFill/>
              </a:ln>
              <a:solidFill>
                <a:sysClr val="windowText" lastClr="000000"/>
              </a:solidFill>
              <a:effectLst/>
              <a:uLnTx/>
              <a:uFillTx/>
              <a:latin typeface="+mn-lt"/>
              <a:ea typeface="+mn-ea"/>
              <a:cs typeface="Aparajita" panose="020B0604020202020204" pitchFamily="34" charset="0"/>
            </a:rPr>
            <a:t>(3 páginas)</a:t>
          </a:r>
          <a:endParaRPr kumimoji="0" lang="es-ES" sz="900" b="0" i="0" u="none" strike="noStrike" kern="0" cap="none" spc="0" normalizeH="0" baseline="0" noProof="0">
            <a:ln>
              <a:noFill/>
            </a:ln>
            <a:solidFill>
              <a:sysClr val="windowText" lastClr="000000"/>
            </a:solidFill>
            <a:effectLst/>
            <a:uLnTx/>
            <a:uFillTx/>
            <a:latin typeface="+mn-lt"/>
            <a:ea typeface="+mn-ea"/>
            <a:cs typeface="Aparajita" panose="020B0604020202020204" pitchFamily="34" charset="0"/>
          </a:endParaRPr>
        </a:p>
        <a:p>
          <a:pPr>
            <a:lnSpc>
              <a:spcPts val="800"/>
            </a:lnSpc>
            <a:spcBef>
              <a:spcPts val="100"/>
            </a:spcBef>
            <a:spcAft>
              <a:spcPts val="100"/>
            </a:spcAft>
          </a:pPr>
          <a:endParaRPr lang="es-ES" sz="900">
            <a:effectLst/>
            <a:latin typeface="+mn-lt"/>
            <a:ea typeface="+mn-ea"/>
            <a:cs typeface="Aparajita" panose="020B0604020202020204" pitchFamily="34" charset="0"/>
          </a:endParaRPr>
        </a:p>
        <a:p>
          <a:pPr>
            <a:lnSpc>
              <a:spcPct val="100000"/>
            </a:lnSpc>
            <a:spcBef>
              <a:spcPts val="0"/>
            </a:spcBef>
            <a:spcAft>
              <a:spcPts val="0"/>
            </a:spcAft>
          </a:pPr>
          <a:r>
            <a:rPr lang="es-ES" sz="900">
              <a:effectLst/>
              <a:latin typeface="+mn-lt"/>
              <a:ea typeface="+mn-ea"/>
              <a:cs typeface="Aparajita" panose="020B0604020202020204" pitchFamily="34" charset="0"/>
            </a:rPr>
            <a:t>En esta hoja se</a:t>
          </a:r>
          <a:r>
            <a:rPr lang="es-ES" sz="900" baseline="0">
              <a:effectLst/>
              <a:latin typeface="+mn-lt"/>
              <a:ea typeface="+mn-ea"/>
              <a:cs typeface="Aparajita" panose="020B0604020202020204" pitchFamily="34" charset="0"/>
            </a:rPr>
            <a:t> calculan de forma automática una serie de indicadores útiles para analizar la factibilidad y viabilidad económico-financiera del proyecto empresarial de los dos ejercicios económicos proyectados.</a:t>
          </a:r>
        </a:p>
        <a:p>
          <a:pPr>
            <a:lnSpc>
              <a:spcPct val="100000"/>
            </a:lnSpc>
            <a:spcBef>
              <a:spcPts val="0"/>
            </a:spcBef>
            <a:spcAft>
              <a:spcPts val="0"/>
            </a:spcAft>
          </a:pPr>
          <a:endParaRPr lang="es-ES" sz="900" baseline="0">
            <a:effectLst/>
            <a:latin typeface="+mn-lt"/>
            <a:ea typeface="+mn-ea"/>
            <a:cs typeface="Aparajita" panose="020B0604020202020204" pitchFamily="34" charset="0"/>
          </a:endParaRPr>
        </a:p>
        <a:p>
          <a:pPr>
            <a:lnSpc>
              <a:spcPct val="100000"/>
            </a:lnSpc>
            <a:spcBef>
              <a:spcPts val="0"/>
            </a:spcBef>
            <a:spcAft>
              <a:spcPts val="0"/>
            </a:spcAft>
          </a:pPr>
          <a:r>
            <a:rPr lang="es-ES" sz="900" baseline="0">
              <a:effectLst/>
              <a:latin typeface="+mn-lt"/>
              <a:ea typeface="+mn-ea"/>
              <a:cs typeface="Aparajita" panose="020B0604020202020204" pitchFamily="34" charset="0"/>
            </a:rPr>
            <a:t>Indicadores que afectan a:</a:t>
          </a:r>
        </a:p>
        <a:p>
          <a:pPr>
            <a:lnSpc>
              <a:spcPct val="100000"/>
            </a:lnSpc>
            <a:spcBef>
              <a:spcPts val="0"/>
            </a:spcBef>
            <a:spcAft>
              <a:spcPts val="0"/>
            </a:spcAft>
          </a:pPr>
          <a:r>
            <a:rPr lang="es-ES" sz="900" baseline="0">
              <a:effectLst/>
              <a:latin typeface="+mn-lt"/>
              <a:ea typeface="+mn-ea"/>
              <a:cs typeface="Aparajita" panose="020B0604020202020204" pitchFamily="34" charset="0"/>
            </a:rPr>
            <a:t>- La situación patrimonial y financiera. Se toman los datos de los balance de situación: inversiones y financiación, fondo de maniobra, liquidez y endeudamiento.</a:t>
          </a:r>
        </a:p>
        <a:p>
          <a:pPr>
            <a:lnSpc>
              <a:spcPct val="100000"/>
            </a:lnSpc>
            <a:spcBef>
              <a:spcPts val="0"/>
            </a:spcBef>
            <a:spcAft>
              <a:spcPts val="0"/>
            </a:spcAft>
          </a:pPr>
          <a:r>
            <a:rPr lang="es-ES" sz="900" baseline="0">
              <a:effectLst/>
              <a:latin typeface="+mn-lt"/>
              <a:ea typeface="+mn-ea"/>
              <a:cs typeface="Aparajita" panose="020B0604020202020204" pitchFamily="34" charset="0"/>
            </a:rPr>
            <a:t>- La situación económica. Se toman los datos de las cuentas de resultados: ventas, márgenes, beneficios, cash flow.</a:t>
          </a:r>
        </a:p>
        <a:p>
          <a:pPr>
            <a:lnSpc>
              <a:spcPct val="100000"/>
            </a:lnSpc>
            <a:spcBef>
              <a:spcPts val="0"/>
            </a:spcBef>
            <a:spcAft>
              <a:spcPts val="0"/>
            </a:spcAft>
          </a:pPr>
          <a:r>
            <a:rPr lang="es-ES" sz="900" baseline="0">
              <a:effectLst/>
              <a:latin typeface="+mn-lt"/>
              <a:ea typeface="+mn-ea"/>
              <a:cs typeface="Aparajita" panose="020B0604020202020204" pitchFamily="34" charset="0"/>
            </a:rPr>
            <a:t>- La situación económica y financiera. Se toman los datos de los dos estados financieros: rentabilidades, break-even, seguridad, capacidad de devolución de las deudas, pay-back.</a:t>
          </a:r>
        </a:p>
        <a:p>
          <a:pPr>
            <a:lnSpc>
              <a:spcPts val="800"/>
            </a:lnSpc>
            <a:spcBef>
              <a:spcPts val="100"/>
            </a:spcBef>
            <a:spcAft>
              <a:spcPts val="100"/>
            </a:spcAft>
          </a:pPr>
          <a:endParaRPr lang="es-ES" sz="900" baseline="0">
            <a:effectLst/>
            <a:latin typeface="+mn-lt"/>
            <a:ea typeface="+mn-ea"/>
            <a:cs typeface="Aparajita" panose="020B0604020202020204" pitchFamily="34" charset="0"/>
          </a:endParaRPr>
        </a:p>
        <a:p>
          <a:pPr>
            <a:lnSpc>
              <a:spcPts val="800"/>
            </a:lnSpc>
            <a:spcBef>
              <a:spcPts val="100"/>
            </a:spcBef>
            <a:spcAft>
              <a:spcPts val="100"/>
            </a:spcAft>
          </a:pPr>
          <a:r>
            <a:rPr lang="es-ES" sz="900" baseline="0">
              <a:effectLst/>
              <a:latin typeface="+mn-lt"/>
              <a:ea typeface="+mn-ea"/>
              <a:cs typeface="Aparajita" panose="020B0604020202020204" pitchFamily="34" charset="0"/>
            </a:rPr>
            <a:t> </a:t>
          </a:r>
          <a:endParaRPr lang="es-ES" sz="900">
            <a:effectLst/>
            <a:latin typeface="+mn-lt"/>
            <a:ea typeface="+mn-ea"/>
            <a:cs typeface="Aparajita" panose="020B0604020202020204" pitchFamily="34" charset="0"/>
          </a:endParaRPr>
        </a:p>
      </xdr:txBody>
    </xdr:sp>
    <xdr:clientData/>
  </xdr:twoCellAnchor>
  <xdr:twoCellAnchor>
    <xdr:from>
      <xdr:col>0</xdr:col>
      <xdr:colOff>142874</xdr:colOff>
      <xdr:row>409</xdr:row>
      <xdr:rowOff>31748</xdr:rowOff>
    </xdr:from>
    <xdr:to>
      <xdr:col>3</xdr:col>
      <xdr:colOff>182562</xdr:colOff>
      <xdr:row>427</xdr:row>
      <xdr:rowOff>95249</xdr:rowOff>
    </xdr:to>
    <xdr:sp macro="" textlink="">
      <xdr:nvSpPr>
        <xdr:cNvPr id="22" name="CuadroTexto 21">
          <a:extLst>
            <a:ext uri="{FF2B5EF4-FFF2-40B4-BE49-F238E27FC236}">
              <a16:creationId xmlns:a16="http://schemas.microsoft.com/office/drawing/2014/main" id="{00000000-0008-0000-0200-000016000000}"/>
            </a:ext>
          </a:extLst>
        </xdr:cNvPr>
        <xdr:cNvSpPr txBox="1"/>
      </xdr:nvSpPr>
      <xdr:spPr>
        <a:xfrm>
          <a:off x="142874" y="64944623"/>
          <a:ext cx="7651751" cy="2921001"/>
        </a:xfrm>
        <a:prstGeom prst="rect">
          <a:avLst/>
        </a:prstGeom>
        <a:solidFill>
          <a:srgbClr val="62E87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s-ES" sz="900" b="1">
              <a:solidFill>
                <a:schemeClr val="dk1"/>
              </a:solidFill>
              <a:effectLst/>
              <a:latin typeface="+mn-lt"/>
              <a:ea typeface="+mn-ea"/>
              <a:cs typeface="Aparajita" panose="020B0604020202020204" pitchFamily="34" charset="0"/>
              <a:sym typeface="Marlett" pitchFamily="2" charset="2"/>
            </a:rPr>
            <a:t>9</a:t>
          </a:r>
          <a:r>
            <a:rPr lang="es-ES" sz="900" b="1">
              <a:solidFill>
                <a:schemeClr val="dk1"/>
              </a:solidFill>
              <a:effectLst/>
              <a:latin typeface="+mn-lt"/>
              <a:ea typeface="+mn-ea"/>
              <a:cs typeface="Aparajita" panose="020B0604020202020204" pitchFamily="34" charset="0"/>
            </a:rPr>
            <a:t>. Abrev</a:t>
          </a:r>
          <a:r>
            <a:rPr lang="es-ES" sz="900" b="1" baseline="0">
              <a:solidFill>
                <a:schemeClr val="dk1"/>
              </a:solidFill>
              <a:effectLst/>
              <a:latin typeface="+mn-lt"/>
              <a:ea typeface="+mn-ea"/>
              <a:cs typeface="Aparajita" panose="020B0604020202020204" pitchFamily="34" charset="0"/>
            </a:rPr>
            <a:t> Balan-CtaR</a:t>
          </a:r>
          <a:r>
            <a:rPr lang="es-ES" sz="900" b="1">
              <a:solidFill>
                <a:schemeClr val="dk1"/>
              </a:solidFill>
              <a:effectLst/>
              <a:latin typeface="+mn-lt"/>
              <a:ea typeface="+mn-ea"/>
              <a:cs typeface="Aparajita" panose="020B0604020202020204" pitchFamily="34" charset="0"/>
            </a:rPr>
            <a:t> (Ej</a:t>
          </a:r>
          <a:r>
            <a:rPr lang="es-ES" sz="900" b="1" baseline="0">
              <a:solidFill>
                <a:schemeClr val="dk1"/>
              </a:solidFill>
              <a:effectLst/>
              <a:latin typeface="+mn-lt"/>
              <a:ea typeface="+mn-ea"/>
              <a:cs typeface="Aparajita" panose="020B0604020202020204" pitchFamily="34" charset="0"/>
            </a:rPr>
            <a:t> 1º,2º</a:t>
          </a:r>
          <a:r>
            <a:rPr lang="es-ES" sz="900" b="1">
              <a:solidFill>
                <a:schemeClr val="dk1"/>
              </a:solidFill>
              <a:effectLst/>
              <a:latin typeface="+mn-lt"/>
              <a:ea typeface="+mn-ea"/>
              <a:cs typeface="Aparajita" panose="020B0604020202020204" pitchFamily="34" charset="0"/>
            </a:rPr>
            <a:t>)</a:t>
          </a:r>
          <a:r>
            <a:rPr lang="es-ES" sz="900">
              <a:solidFill>
                <a:schemeClr val="dk1"/>
              </a:solidFill>
              <a:effectLst/>
              <a:latin typeface="+mn-lt"/>
              <a:ea typeface="+mn-ea"/>
              <a:cs typeface="Aparajita" panose="020B0604020202020204" pitchFamily="34" charset="0"/>
            </a:rPr>
            <a:t> </a:t>
          </a:r>
          <a:r>
            <a:rPr lang="es-ES" sz="900" i="1">
              <a:solidFill>
                <a:schemeClr val="dk1"/>
              </a:solidFill>
              <a:effectLst/>
              <a:latin typeface="+mn-lt"/>
              <a:ea typeface="+mn-ea"/>
              <a:cs typeface="Aparajita" panose="020B0604020202020204" pitchFamily="34" charset="0"/>
            </a:rPr>
            <a:t>(2 páginas)</a:t>
          </a:r>
        </a:p>
        <a:p>
          <a:pPr>
            <a:lnSpc>
              <a:spcPts val="1000"/>
            </a:lnSpc>
          </a:pPr>
          <a:endParaRPr lang="es-ES" sz="900">
            <a:solidFill>
              <a:schemeClr val="dk1"/>
            </a:solidFill>
            <a:effectLst/>
            <a:latin typeface="+mn-lt"/>
            <a:ea typeface="+mn-ea"/>
            <a:cs typeface="Aparajita" panose="020B0604020202020204" pitchFamily="34" charset="0"/>
          </a:endParaRPr>
        </a:p>
        <a:p>
          <a:pPr>
            <a:lnSpc>
              <a:spcPct val="100000"/>
            </a:lnSpc>
          </a:pPr>
          <a:r>
            <a:rPr lang="es-ES" sz="900">
              <a:solidFill>
                <a:schemeClr val="dk1"/>
              </a:solidFill>
              <a:effectLst/>
              <a:latin typeface="+mn-lt"/>
              <a:ea typeface="+mn-ea"/>
              <a:cs typeface="Aparajita" panose="020B0604020202020204" pitchFamily="34" charset="0"/>
              <a:sym typeface="Marlett" pitchFamily="2" charset="2"/>
            </a:rPr>
            <a:t>Esta hoja contiene los estados financieros abreviados: balance</a:t>
          </a:r>
          <a:r>
            <a:rPr lang="es-ES" sz="900" baseline="0">
              <a:solidFill>
                <a:schemeClr val="dk1"/>
              </a:solidFill>
              <a:effectLst/>
              <a:latin typeface="+mn-lt"/>
              <a:ea typeface="+mn-ea"/>
              <a:cs typeface="Aparajita" panose="020B0604020202020204" pitchFamily="34" charset="0"/>
              <a:sym typeface="Marlett" pitchFamily="2" charset="2"/>
            </a:rPr>
            <a:t> de situación, al inicio de actividad y final de los dos ejercicios, y cuenta de resultados, al final de los dos ejercicios.</a:t>
          </a:r>
        </a:p>
        <a:p>
          <a:pPr>
            <a:lnSpc>
              <a:spcPct val="100000"/>
            </a:lnSpc>
          </a:pPr>
          <a:endParaRPr lang="es-ES" sz="900">
            <a:solidFill>
              <a:schemeClr val="dk1"/>
            </a:solidFill>
            <a:effectLst/>
            <a:latin typeface="+mn-lt"/>
            <a:ea typeface="+mn-ea"/>
            <a:cs typeface="Aparajita" panose="020B0604020202020204" pitchFamily="34" charset="0"/>
            <a:sym typeface="Marlett" pitchFamily="2" charset="2"/>
          </a:endParaRPr>
        </a:p>
        <a:p>
          <a:pPr>
            <a:lnSpc>
              <a:spcPct val="100000"/>
            </a:lnSpc>
          </a:pPr>
          <a:r>
            <a:rPr lang="es-ES" sz="900">
              <a:solidFill>
                <a:schemeClr val="dk1"/>
              </a:solidFill>
              <a:effectLst/>
              <a:latin typeface="+mn-lt"/>
              <a:ea typeface="+mn-ea"/>
              <a:cs typeface="Aparajita" panose="020B0604020202020204" pitchFamily="34" charset="0"/>
              <a:sym typeface="Marlett" pitchFamily="2" charset="2"/>
            </a:rPr>
            <a:t>L</a:t>
          </a:r>
          <a:r>
            <a:rPr lang="es-ES" sz="900">
              <a:solidFill>
                <a:schemeClr val="dk1"/>
              </a:solidFill>
              <a:effectLst/>
              <a:latin typeface="+mn-lt"/>
              <a:ea typeface="+mn-ea"/>
              <a:cs typeface="Aparajita" panose="020B0604020202020204" pitchFamily="34" charset="0"/>
            </a:rPr>
            <a:t>os </a:t>
          </a:r>
          <a:r>
            <a:rPr lang="es-ES" sz="900" b="1" i="1">
              <a:solidFill>
                <a:schemeClr val="dk1"/>
              </a:solidFill>
              <a:effectLst/>
              <a:latin typeface="+mn-lt"/>
              <a:ea typeface="+mn-ea"/>
              <a:cs typeface="Aparajita" panose="020B0604020202020204" pitchFamily="34" charset="0"/>
            </a:rPr>
            <a:t>balances de situación</a:t>
          </a:r>
          <a:r>
            <a:rPr lang="es-ES" sz="900" b="1" i="1" baseline="0">
              <a:solidFill>
                <a:schemeClr val="dk1"/>
              </a:solidFill>
              <a:effectLst/>
              <a:latin typeface="+mn-lt"/>
              <a:ea typeface="+mn-ea"/>
              <a:cs typeface="Aparajita" panose="020B0604020202020204" pitchFamily="34" charset="0"/>
            </a:rPr>
            <a:t> abreviados</a:t>
          </a:r>
          <a:r>
            <a:rPr lang="es-ES" sz="900" b="1" i="1">
              <a:solidFill>
                <a:schemeClr val="dk1"/>
              </a:solidFill>
              <a:effectLst/>
              <a:latin typeface="+mn-lt"/>
              <a:ea typeface="+mn-ea"/>
              <a:cs typeface="Aparajita" panose="020B0604020202020204" pitchFamily="34" charset="0"/>
            </a:rPr>
            <a:t> </a:t>
          </a:r>
          <a:r>
            <a:rPr lang="es-ES" sz="900" b="0" i="0">
              <a:solidFill>
                <a:schemeClr val="dk1"/>
              </a:solidFill>
              <a:effectLst/>
              <a:latin typeface="+mn-lt"/>
              <a:ea typeface="+mn-ea"/>
              <a:cs typeface="Aparajita" panose="020B0604020202020204" pitchFamily="34" charset="0"/>
            </a:rPr>
            <a:t>(1ª página), reflejan la situación patrimonial del proyecto empresarial representada sólo</a:t>
          </a:r>
          <a:r>
            <a:rPr lang="es-ES" sz="900" b="0" i="0" baseline="0">
              <a:solidFill>
                <a:schemeClr val="dk1"/>
              </a:solidFill>
              <a:effectLst/>
              <a:latin typeface="+mn-lt"/>
              <a:ea typeface="+mn-ea"/>
              <a:cs typeface="Aparajita" panose="020B0604020202020204" pitchFamily="34" charset="0"/>
            </a:rPr>
            <a:t> </a:t>
          </a:r>
          <a:r>
            <a:rPr lang="es-ES" sz="900" b="0" i="0">
              <a:solidFill>
                <a:schemeClr val="dk1"/>
              </a:solidFill>
              <a:effectLst/>
              <a:latin typeface="+mn-lt"/>
              <a:ea typeface="+mn-ea"/>
              <a:cs typeface="Aparajita" panose="020B0604020202020204" pitchFamily="34" charset="0"/>
            </a:rPr>
            <a:t>por las masas patrimoniales. En los mismos se muestra la situación de la riqueza con la que el proyecto empresarial parte y la</a:t>
          </a:r>
          <a:r>
            <a:rPr lang="es-ES" sz="900" b="0" i="0" baseline="0">
              <a:solidFill>
                <a:schemeClr val="dk1"/>
              </a:solidFill>
              <a:effectLst/>
              <a:latin typeface="+mn-lt"/>
              <a:ea typeface="+mn-ea"/>
              <a:cs typeface="Aparajita" panose="020B0604020202020204" pitchFamily="34" charset="0"/>
            </a:rPr>
            <a:t> situación de la misma al final de cada uno de los dos ejercicios económico proyectados. Cuanto menos peso tenga el Pasivo y más el Patrimonio Neto, más rico será.</a:t>
          </a:r>
        </a:p>
        <a:p>
          <a:pPr>
            <a:lnSpc>
              <a:spcPct val="100000"/>
            </a:lnSpc>
          </a:pPr>
          <a:r>
            <a:rPr lang="es-ES" sz="900">
              <a:solidFill>
                <a:schemeClr val="dk1"/>
              </a:solidFill>
              <a:effectLst/>
              <a:latin typeface="+mn-lt"/>
              <a:ea typeface="+mn-ea"/>
              <a:cs typeface="Aparajita" panose="020B0604020202020204" pitchFamily="34" charset="0"/>
            </a:rPr>
            <a:t> </a:t>
          </a:r>
        </a:p>
        <a:p>
          <a:pPr>
            <a:lnSpc>
              <a:spcPct val="100000"/>
            </a:lnSpc>
          </a:pPr>
          <a:r>
            <a:rPr lang="es-ES" sz="900">
              <a:solidFill>
                <a:schemeClr val="dk1"/>
              </a:solidFill>
              <a:effectLst/>
              <a:latin typeface="+mn-lt"/>
              <a:ea typeface="+mn-ea"/>
              <a:cs typeface="Aparajita" panose="020B0604020202020204" pitchFamily="34" charset="0"/>
            </a:rPr>
            <a:t>- En la primera columna de cada ejercicio aparecen los importes de los elementos de cada masa patrimonial (activo y patrimonio neto más pasivo) en valores absolutos. En la segunda columna, quedan determinados esos importes en porcentajes (% de contribución de cada elemento sobre el total de su masa patrimonial (base 100%)).</a:t>
          </a:r>
        </a:p>
        <a:p>
          <a:pPr>
            <a:lnSpc>
              <a:spcPct val="100000"/>
            </a:lnSpc>
          </a:pPr>
          <a:r>
            <a:rPr lang="es-ES" sz="900">
              <a:solidFill>
                <a:schemeClr val="dk1"/>
              </a:solidFill>
              <a:effectLst/>
              <a:latin typeface="+mn-lt"/>
              <a:ea typeface="+mn-ea"/>
              <a:cs typeface="Aparajita" panose="020B0604020202020204" pitchFamily="34" charset="0"/>
            </a:rPr>
            <a:t> </a:t>
          </a:r>
        </a:p>
        <a:p>
          <a:r>
            <a:rPr lang="es-ES" sz="900">
              <a:solidFill>
                <a:schemeClr val="dk1"/>
              </a:solidFill>
              <a:effectLst/>
              <a:latin typeface="+mn-lt"/>
              <a:ea typeface="+mn-ea"/>
              <a:cs typeface="+mn-cs"/>
              <a:sym typeface="Marlett" pitchFamily="2" charset="2"/>
            </a:rPr>
            <a:t></a:t>
          </a:r>
          <a:r>
            <a:rPr lang="es-ES" sz="900">
              <a:solidFill>
                <a:schemeClr val="dk1"/>
              </a:solidFill>
              <a:effectLst/>
              <a:latin typeface="+mn-lt"/>
              <a:ea typeface="+mn-ea"/>
              <a:cs typeface="+mn-cs"/>
            </a:rPr>
            <a:t>Las </a:t>
          </a:r>
          <a:r>
            <a:rPr lang="es-ES" sz="900" b="1" i="1">
              <a:solidFill>
                <a:schemeClr val="dk1"/>
              </a:solidFill>
              <a:effectLst/>
              <a:latin typeface="+mn-lt"/>
              <a:ea typeface="+mn-ea"/>
              <a:cs typeface="+mn-cs"/>
            </a:rPr>
            <a:t>cuentas de pérdidas y ganancias, o de resultados abreviados, </a:t>
          </a:r>
          <a:r>
            <a:rPr lang="es-ES" sz="900" b="0" i="0">
              <a:solidFill>
                <a:schemeClr val="dk1"/>
              </a:solidFill>
              <a:effectLst/>
              <a:latin typeface="+mn-lt"/>
              <a:ea typeface="+mn-ea"/>
              <a:cs typeface="+mn-cs"/>
            </a:rPr>
            <a:t>(2ª página), reflejan</a:t>
          </a:r>
          <a:r>
            <a:rPr lang="es-ES" sz="900" b="0" i="0" baseline="0">
              <a:solidFill>
                <a:schemeClr val="dk1"/>
              </a:solidFill>
              <a:effectLst/>
              <a:latin typeface="+mn-lt"/>
              <a:ea typeface="+mn-ea"/>
              <a:cs typeface="+mn-cs"/>
            </a:rPr>
            <a:t> como va generándose el resultado final (resultado neto) del proyecto empresarial, como consecuencia de la diferencia entre los ingresos que se espera generar y los distintos tipos de costes a soportar en el transcurso de la actividad de los dos primeros ejercicios económicos proyectados. Este estado financiero representa el motor de la actividad.</a:t>
          </a:r>
        </a:p>
        <a:p>
          <a:r>
            <a:rPr lang="es-ES" sz="900" b="0" i="0" baseline="0">
              <a:solidFill>
                <a:schemeClr val="dk1"/>
              </a:solidFill>
              <a:effectLst/>
              <a:latin typeface="+mn-lt"/>
              <a:ea typeface="+mn-ea"/>
              <a:cs typeface="+mn-cs"/>
            </a:rPr>
            <a:t>Antes de llegar a obtener el resultado neto, se van calculando, según importancia, cuatro tipos de resultados: beneficio bruto, EBITDA, EBIT, EBT</a:t>
          </a:r>
          <a:endParaRPr lang="es-ES" sz="900">
            <a:effectLst/>
          </a:endParaRPr>
        </a:p>
        <a:p>
          <a:r>
            <a:rPr lang="es-ES" sz="900">
              <a:solidFill>
                <a:schemeClr val="dk1"/>
              </a:solidFill>
              <a:effectLst/>
              <a:latin typeface="+mn-lt"/>
              <a:ea typeface="+mn-ea"/>
              <a:cs typeface="+mn-cs"/>
            </a:rPr>
            <a:t> </a:t>
          </a:r>
          <a:endParaRPr lang="es-ES" sz="900">
            <a:effectLst/>
          </a:endParaRPr>
        </a:p>
        <a:p>
          <a:r>
            <a:rPr lang="es-ES" sz="900">
              <a:solidFill>
                <a:schemeClr val="dk1"/>
              </a:solidFill>
              <a:effectLst/>
              <a:latin typeface="+mn-lt"/>
              <a:ea typeface="+mn-ea"/>
              <a:cs typeface="+mn-cs"/>
            </a:rPr>
            <a:t>- Los importes</a:t>
          </a:r>
          <a:r>
            <a:rPr lang="es-ES" sz="900" baseline="0">
              <a:solidFill>
                <a:schemeClr val="dk1"/>
              </a:solidFill>
              <a:effectLst/>
              <a:latin typeface="+mn-lt"/>
              <a:ea typeface="+mn-ea"/>
              <a:cs typeface="+mn-cs"/>
            </a:rPr>
            <a:t> de ingresos y gastos consumidos en cada ejercicios,</a:t>
          </a:r>
          <a:r>
            <a:rPr lang="es-ES" sz="900">
              <a:solidFill>
                <a:schemeClr val="dk1"/>
              </a:solidFill>
              <a:effectLst/>
              <a:latin typeface="+mn-lt"/>
              <a:ea typeface="+mn-ea"/>
              <a:cs typeface="+mn-cs"/>
            </a:rPr>
            <a:t> aparecen reflejados en valores absolutos y en valores relativos (% de contribución</a:t>
          </a:r>
          <a:r>
            <a:rPr lang="es-ES" sz="900" baseline="0">
              <a:solidFill>
                <a:schemeClr val="dk1"/>
              </a:solidFill>
              <a:effectLst/>
              <a:latin typeface="+mn-lt"/>
              <a:ea typeface="+mn-ea"/>
              <a:cs typeface="+mn-cs"/>
            </a:rPr>
            <a:t> de cada gasto sobre el total de ventas, que se toman como base 100%</a:t>
          </a:r>
          <a:r>
            <a:rPr lang="es-ES" sz="900">
              <a:solidFill>
                <a:schemeClr val="dk1"/>
              </a:solidFill>
              <a:effectLst/>
              <a:latin typeface="+mn-lt"/>
              <a:ea typeface="+mn-ea"/>
              <a:cs typeface="+mn-cs"/>
            </a:rPr>
            <a:t>).</a:t>
          </a:r>
          <a:endParaRPr lang="es-ES" sz="900">
            <a:effectLst/>
          </a:endParaRPr>
        </a:p>
        <a:p>
          <a:pPr>
            <a:lnSpc>
              <a:spcPts val="1000"/>
            </a:lnSpc>
          </a:pPr>
          <a:endParaRPr lang="es-ES" sz="900">
            <a:solidFill>
              <a:schemeClr val="dk1"/>
            </a:solidFill>
            <a:effectLst/>
            <a:latin typeface="+mn-lt"/>
            <a:ea typeface="+mn-ea"/>
            <a:cs typeface="Aparajita"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0</xdr:col>
      <xdr:colOff>320675</xdr:colOff>
      <xdr:row>0</xdr:row>
      <xdr:rowOff>171450</xdr:rowOff>
    </xdr:to>
    <xdr:pic>
      <xdr:nvPicPr>
        <xdr:cNvPr id="14300110" name="3 Imagen" descr="Logo1">
          <a:extLst>
            <a:ext uri="{FF2B5EF4-FFF2-40B4-BE49-F238E27FC236}">
              <a16:creationId xmlns:a16="http://schemas.microsoft.com/office/drawing/2014/main" id="{00000000-0008-0000-0300-0000CE33D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
          <a:ext cx="254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295275</xdr:colOff>
      <xdr:row>92</xdr:row>
      <xdr:rowOff>171450</xdr:rowOff>
    </xdr:from>
    <xdr:to>
      <xdr:col>15</xdr:col>
      <xdr:colOff>38100</xdr:colOff>
      <xdr:row>107</xdr:row>
      <xdr:rowOff>161925</xdr:rowOff>
    </xdr:to>
    <xdr:graphicFrame macro="">
      <xdr:nvGraphicFramePr>
        <xdr:cNvPr id="26077360" name="Gráfico 6">
          <a:extLst>
            <a:ext uri="{FF2B5EF4-FFF2-40B4-BE49-F238E27FC236}">
              <a16:creationId xmlns:a16="http://schemas.microsoft.com/office/drawing/2014/main" id="{00000000-0008-0000-0400-0000B0E88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447675</xdr:colOff>
      <xdr:row>92</xdr:row>
      <xdr:rowOff>219075</xdr:rowOff>
    </xdr:from>
    <xdr:to>
      <xdr:col>34</xdr:col>
      <xdr:colOff>38100</xdr:colOff>
      <xdr:row>108</xdr:row>
      <xdr:rowOff>0</xdr:rowOff>
    </xdr:to>
    <xdr:graphicFrame macro="">
      <xdr:nvGraphicFramePr>
        <xdr:cNvPr id="26077361" name="Gráfico 6">
          <a:extLst>
            <a:ext uri="{FF2B5EF4-FFF2-40B4-BE49-F238E27FC236}">
              <a16:creationId xmlns:a16="http://schemas.microsoft.com/office/drawing/2014/main" id="{00000000-0008-0000-0400-0000B1E88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152400</xdr:colOff>
      <xdr:row>5</xdr:row>
      <xdr:rowOff>95250</xdr:rowOff>
    </xdr:from>
    <xdr:to>
      <xdr:col>3</xdr:col>
      <xdr:colOff>914400</xdr:colOff>
      <xdr:row>5</xdr:row>
      <xdr:rowOff>95250</xdr:rowOff>
    </xdr:to>
    <xdr:cxnSp macro="">
      <xdr:nvCxnSpPr>
        <xdr:cNvPr id="26077363" name="Conector recto de flecha 2">
          <a:extLst>
            <a:ext uri="{FF2B5EF4-FFF2-40B4-BE49-F238E27FC236}">
              <a16:creationId xmlns:a16="http://schemas.microsoft.com/office/drawing/2014/main" id="{00000000-0008-0000-0400-0000B3E88D01}"/>
            </a:ext>
          </a:extLst>
        </xdr:cNvPr>
        <xdr:cNvCxnSpPr>
          <a:cxnSpLocks noChangeShapeType="1"/>
        </xdr:cNvCxnSpPr>
      </xdr:nvCxnSpPr>
      <xdr:spPr bwMode="auto">
        <a:xfrm>
          <a:off x="4171950" y="1162050"/>
          <a:ext cx="762000" cy="0"/>
        </a:xfrm>
        <a:prstGeom prst="straightConnector1">
          <a:avLst/>
        </a:prstGeom>
        <a:noFill/>
        <a:ln w="9525" algn="ctr">
          <a:solidFill>
            <a:srgbClr val="4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760640</xdr:colOff>
      <xdr:row>2</xdr:row>
      <xdr:rowOff>66675</xdr:rowOff>
    </xdr:from>
    <xdr:to>
      <xdr:col>1</xdr:col>
      <xdr:colOff>8165</xdr:colOff>
      <xdr:row>3</xdr:row>
      <xdr:rowOff>66675</xdr:rowOff>
    </xdr:to>
    <xdr:sp macro="" textlink="">
      <xdr:nvSpPr>
        <xdr:cNvPr id="26077364" name="Flecha: a la derecha 1">
          <a:extLst>
            <a:ext uri="{FF2B5EF4-FFF2-40B4-BE49-F238E27FC236}">
              <a16:creationId xmlns:a16="http://schemas.microsoft.com/office/drawing/2014/main" id="{00000000-0008-0000-0400-0000B4E88D01}"/>
            </a:ext>
          </a:extLst>
        </xdr:cNvPr>
        <xdr:cNvSpPr>
          <a:spLocks noChangeArrowheads="1"/>
        </xdr:cNvSpPr>
      </xdr:nvSpPr>
      <xdr:spPr bwMode="auto">
        <a:xfrm>
          <a:off x="760640" y="485775"/>
          <a:ext cx="981075" cy="400050"/>
        </a:xfrm>
        <a:prstGeom prst="rightArrow">
          <a:avLst>
            <a:gd name="adj1" fmla="val 50000"/>
            <a:gd name="adj2" fmla="val 49388"/>
          </a:avLst>
        </a:prstGeom>
        <a:solidFill>
          <a:srgbClr val="92D050"/>
        </a:solidFill>
        <a:ln w="9525" algn="ctr">
          <a:solidFill>
            <a:schemeClr val="tx1">
              <a:lumMod val="50000"/>
              <a:lumOff val="50000"/>
            </a:schemeClr>
          </a:solidFill>
          <a:round/>
          <a:headEnd/>
          <a:tailEnd/>
        </a:ln>
      </xdr:spPr>
    </xdr:sp>
    <xdr:clientData/>
  </xdr:twoCellAnchor>
  <xdr:twoCellAnchor>
    <xdr:from>
      <xdr:col>0</xdr:col>
      <xdr:colOff>816428</xdr:colOff>
      <xdr:row>32</xdr:row>
      <xdr:rowOff>0</xdr:rowOff>
    </xdr:from>
    <xdr:to>
      <xdr:col>1</xdr:col>
      <xdr:colOff>69396</xdr:colOff>
      <xdr:row>33</xdr:row>
      <xdr:rowOff>0</xdr:rowOff>
    </xdr:to>
    <xdr:sp macro="" textlink="">
      <xdr:nvSpPr>
        <xdr:cNvPr id="26077365" name="Flecha: a la derecha 6">
          <a:extLst>
            <a:ext uri="{FF2B5EF4-FFF2-40B4-BE49-F238E27FC236}">
              <a16:creationId xmlns:a16="http://schemas.microsoft.com/office/drawing/2014/main" id="{00000000-0008-0000-0400-0000B5E88D01}"/>
            </a:ext>
          </a:extLst>
        </xdr:cNvPr>
        <xdr:cNvSpPr>
          <a:spLocks noChangeArrowheads="1"/>
        </xdr:cNvSpPr>
      </xdr:nvSpPr>
      <xdr:spPr bwMode="auto">
        <a:xfrm>
          <a:off x="816428" y="7606393"/>
          <a:ext cx="981075" cy="394607"/>
        </a:xfrm>
        <a:prstGeom prst="rightArrow">
          <a:avLst>
            <a:gd name="adj1" fmla="val 50000"/>
            <a:gd name="adj2" fmla="val 49388"/>
          </a:avLst>
        </a:prstGeom>
        <a:solidFill>
          <a:srgbClr val="92D050"/>
        </a:solidFill>
        <a:ln w="9525" algn="ctr">
          <a:solidFill>
            <a:schemeClr val="tx1">
              <a:lumMod val="50000"/>
              <a:lumOff val="50000"/>
            </a:schemeClr>
          </a:solidFill>
          <a:round/>
          <a:headEnd/>
          <a:tailEnd/>
        </a:ln>
      </xdr:spPr>
    </xdr:sp>
    <xdr:clientData/>
  </xdr:twoCellAnchor>
  <xdr:twoCellAnchor>
    <xdr:from>
      <xdr:col>0</xdr:col>
      <xdr:colOff>721178</xdr:colOff>
      <xdr:row>86</xdr:row>
      <xdr:rowOff>0</xdr:rowOff>
    </xdr:from>
    <xdr:to>
      <xdr:col>0</xdr:col>
      <xdr:colOff>1702253</xdr:colOff>
      <xdr:row>87</xdr:row>
      <xdr:rowOff>0</xdr:rowOff>
    </xdr:to>
    <xdr:sp macro="" textlink="">
      <xdr:nvSpPr>
        <xdr:cNvPr id="26077366" name="Flecha: a la derecha 7">
          <a:extLst>
            <a:ext uri="{FF2B5EF4-FFF2-40B4-BE49-F238E27FC236}">
              <a16:creationId xmlns:a16="http://schemas.microsoft.com/office/drawing/2014/main" id="{00000000-0008-0000-0400-0000B6E88D01}"/>
            </a:ext>
          </a:extLst>
        </xdr:cNvPr>
        <xdr:cNvSpPr>
          <a:spLocks noChangeArrowheads="1"/>
        </xdr:cNvSpPr>
      </xdr:nvSpPr>
      <xdr:spPr bwMode="auto">
        <a:xfrm>
          <a:off x="721178" y="17580429"/>
          <a:ext cx="981075" cy="394607"/>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twoCellAnchor>
    <xdr:from>
      <xdr:col>0</xdr:col>
      <xdr:colOff>721178</xdr:colOff>
      <xdr:row>74</xdr:row>
      <xdr:rowOff>285749</xdr:rowOff>
    </xdr:from>
    <xdr:to>
      <xdr:col>0</xdr:col>
      <xdr:colOff>1702253</xdr:colOff>
      <xdr:row>76</xdr:row>
      <xdr:rowOff>-1</xdr:rowOff>
    </xdr:to>
    <xdr:sp macro="" textlink="">
      <xdr:nvSpPr>
        <xdr:cNvPr id="10" name="Flecha: a la derecha 6">
          <a:extLst>
            <a:ext uri="{FF2B5EF4-FFF2-40B4-BE49-F238E27FC236}">
              <a16:creationId xmlns:a16="http://schemas.microsoft.com/office/drawing/2014/main" id="{00000000-0008-0000-0400-00000A000000}"/>
            </a:ext>
          </a:extLst>
        </xdr:cNvPr>
        <xdr:cNvSpPr>
          <a:spLocks noChangeArrowheads="1"/>
        </xdr:cNvSpPr>
      </xdr:nvSpPr>
      <xdr:spPr bwMode="auto">
        <a:xfrm>
          <a:off x="721178" y="14124213"/>
          <a:ext cx="981075" cy="408215"/>
        </a:xfrm>
        <a:prstGeom prst="rightArrow">
          <a:avLst>
            <a:gd name="adj1" fmla="val 50000"/>
            <a:gd name="adj2" fmla="val 49388"/>
          </a:avLst>
        </a:prstGeom>
        <a:solidFill>
          <a:srgbClr val="92D050"/>
        </a:solidFill>
        <a:ln w="9525" algn="ctr">
          <a:solidFill>
            <a:schemeClr val="tx1">
              <a:lumMod val="50000"/>
              <a:lumOff val="50000"/>
            </a:schemeClr>
          </a:solidFill>
          <a:round/>
          <a:headEnd/>
          <a:tailEnd/>
        </a:ln>
      </xdr:spPr>
    </xdr:sp>
    <xdr:clientData/>
  </xdr:twoCellAnchor>
  <xdr:twoCellAnchor editAs="oneCell">
    <xdr:from>
      <xdr:col>0</xdr:col>
      <xdr:colOff>54429</xdr:colOff>
      <xdr:row>0</xdr:row>
      <xdr:rowOff>27214</xdr:rowOff>
    </xdr:from>
    <xdr:to>
      <xdr:col>0</xdr:col>
      <xdr:colOff>568779</xdr:colOff>
      <xdr:row>0</xdr:row>
      <xdr:rowOff>198664</xdr:rowOff>
    </xdr:to>
    <xdr:pic>
      <xdr:nvPicPr>
        <xdr:cNvPr id="11" name="3 Imagen" descr="Logo1">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29" y="27214"/>
          <a:ext cx="514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523204</xdr:colOff>
      <xdr:row>1</xdr:row>
      <xdr:rowOff>174402</xdr:rowOff>
    </xdr:from>
    <xdr:to>
      <xdr:col>0</xdr:col>
      <xdr:colOff>1504279</xdr:colOff>
      <xdr:row>2</xdr:row>
      <xdr:rowOff>385159</xdr:rowOff>
    </xdr:to>
    <xdr:sp macro="" textlink="">
      <xdr:nvSpPr>
        <xdr:cNvPr id="25407790" name="Flecha: a la derecha 7">
          <a:extLst>
            <a:ext uri="{FF2B5EF4-FFF2-40B4-BE49-F238E27FC236}">
              <a16:creationId xmlns:a16="http://schemas.microsoft.com/office/drawing/2014/main" id="{00000000-0008-0000-0500-00002EB18301}"/>
            </a:ext>
          </a:extLst>
        </xdr:cNvPr>
        <xdr:cNvSpPr>
          <a:spLocks noChangeArrowheads="1"/>
        </xdr:cNvSpPr>
      </xdr:nvSpPr>
      <xdr:spPr bwMode="auto">
        <a:xfrm>
          <a:off x="523204" y="362219"/>
          <a:ext cx="981075" cy="398574"/>
        </a:xfrm>
        <a:prstGeom prst="rightArrow">
          <a:avLst>
            <a:gd name="adj1" fmla="val 50000"/>
            <a:gd name="adj2" fmla="val 49388"/>
          </a:avLst>
        </a:prstGeom>
        <a:solidFill>
          <a:srgbClr val="92D050"/>
        </a:solidFill>
        <a:ln w="9525" algn="ctr">
          <a:solidFill>
            <a:schemeClr val="tx1">
              <a:lumMod val="50000"/>
              <a:lumOff val="50000"/>
            </a:schemeClr>
          </a:solidFill>
          <a:round/>
          <a:headEnd/>
          <a:tailEnd/>
        </a:ln>
      </xdr:spPr>
    </xdr:sp>
    <xdr:clientData/>
  </xdr:twoCellAnchor>
  <xdr:twoCellAnchor>
    <xdr:from>
      <xdr:col>0</xdr:col>
      <xdr:colOff>536620</xdr:colOff>
      <xdr:row>20</xdr:row>
      <xdr:rowOff>0</xdr:rowOff>
    </xdr:from>
    <xdr:to>
      <xdr:col>0</xdr:col>
      <xdr:colOff>1517695</xdr:colOff>
      <xdr:row>20</xdr:row>
      <xdr:rowOff>390525</xdr:rowOff>
    </xdr:to>
    <xdr:sp macro="" textlink="">
      <xdr:nvSpPr>
        <xdr:cNvPr id="25407791" name="Flecha: a la derecha 8">
          <a:extLst>
            <a:ext uri="{FF2B5EF4-FFF2-40B4-BE49-F238E27FC236}">
              <a16:creationId xmlns:a16="http://schemas.microsoft.com/office/drawing/2014/main" id="{00000000-0008-0000-0500-00002FB18301}"/>
            </a:ext>
          </a:extLst>
        </xdr:cNvPr>
        <xdr:cNvSpPr>
          <a:spLocks noChangeArrowheads="1"/>
        </xdr:cNvSpPr>
      </xdr:nvSpPr>
      <xdr:spPr bwMode="auto">
        <a:xfrm>
          <a:off x="536620" y="5003979"/>
          <a:ext cx="981075" cy="390525"/>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twoCellAnchor>
    <xdr:from>
      <xdr:col>0</xdr:col>
      <xdr:colOff>523205</xdr:colOff>
      <xdr:row>29</xdr:row>
      <xdr:rowOff>13416</xdr:rowOff>
    </xdr:from>
    <xdr:to>
      <xdr:col>0</xdr:col>
      <xdr:colOff>1504280</xdr:colOff>
      <xdr:row>29</xdr:row>
      <xdr:rowOff>403941</xdr:rowOff>
    </xdr:to>
    <xdr:sp macro="" textlink="">
      <xdr:nvSpPr>
        <xdr:cNvPr id="25407792" name="Flecha: a la derecha 9">
          <a:extLst>
            <a:ext uri="{FF2B5EF4-FFF2-40B4-BE49-F238E27FC236}">
              <a16:creationId xmlns:a16="http://schemas.microsoft.com/office/drawing/2014/main" id="{00000000-0008-0000-0500-000030B18301}"/>
            </a:ext>
          </a:extLst>
        </xdr:cNvPr>
        <xdr:cNvSpPr>
          <a:spLocks noChangeArrowheads="1"/>
        </xdr:cNvSpPr>
      </xdr:nvSpPr>
      <xdr:spPr bwMode="auto">
        <a:xfrm>
          <a:off x="523205" y="7284613"/>
          <a:ext cx="981075" cy="390525"/>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twoCellAnchor>
    <xdr:from>
      <xdr:col>0</xdr:col>
      <xdr:colOff>536620</xdr:colOff>
      <xdr:row>44</xdr:row>
      <xdr:rowOff>13416</xdr:rowOff>
    </xdr:from>
    <xdr:to>
      <xdr:col>0</xdr:col>
      <xdr:colOff>1517695</xdr:colOff>
      <xdr:row>45</xdr:row>
      <xdr:rowOff>13416</xdr:rowOff>
    </xdr:to>
    <xdr:sp macro="" textlink="">
      <xdr:nvSpPr>
        <xdr:cNvPr id="25407793" name="Flecha: a la derecha 6">
          <a:extLst>
            <a:ext uri="{FF2B5EF4-FFF2-40B4-BE49-F238E27FC236}">
              <a16:creationId xmlns:a16="http://schemas.microsoft.com/office/drawing/2014/main" id="{00000000-0008-0000-0500-000031B18301}"/>
            </a:ext>
          </a:extLst>
        </xdr:cNvPr>
        <xdr:cNvSpPr>
          <a:spLocks noChangeArrowheads="1"/>
        </xdr:cNvSpPr>
      </xdr:nvSpPr>
      <xdr:spPr bwMode="auto">
        <a:xfrm>
          <a:off x="536620" y="10987289"/>
          <a:ext cx="981075" cy="402465"/>
        </a:xfrm>
        <a:prstGeom prst="rightArrow">
          <a:avLst>
            <a:gd name="adj1" fmla="val 50000"/>
            <a:gd name="adj2" fmla="val 49388"/>
          </a:avLst>
        </a:prstGeom>
        <a:solidFill>
          <a:srgbClr val="92D050"/>
        </a:solidFill>
        <a:ln w="9525" algn="ctr">
          <a:solidFill>
            <a:schemeClr val="tx1">
              <a:lumMod val="50000"/>
              <a:lumOff val="50000"/>
            </a:schemeClr>
          </a:solidFill>
          <a:round/>
          <a:headEnd/>
          <a:tailEnd/>
        </a:ln>
      </xdr:spPr>
    </xdr:sp>
    <xdr:clientData/>
  </xdr:twoCellAnchor>
  <xdr:twoCellAnchor editAs="oneCell">
    <xdr:from>
      <xdr:col>0</xdr:col>
      <xdr:colOff>53662</xdr:colOff>
      <xdr:row>0</xdr:row>
      <xdr:rowOff>40246</xdr:rowOff>
    </xdr:from>
    <xdr:to>
      <xdr:col>0</xdr:col>
      <xdr:colOff>568012</xdr:colOff>
      <xdr:row>1</xdr:row>
      <xdr:rowOff>23879</xdr:rowOff>
    </xdr:to>
    <xdr:pic>
      <xdr:nvPicPr>
        <xdr:cNvPr id="8" name="3 Imagen" descr="Logo1">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62" y="40246"/>
          <a:ext cx="514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721179</xdr:colOff>
      <xdr:row>2</xdr:row>
      <xdr:rowOff>0</xdr:rowOff>
    </xdr:from>
    <xdr:to>
      <xdr:col>1</xdr:col>
      <xdr:colOff>1361</xdr:colOff>
      <xdr:row>2</xdr:row>
      <xdr:rowOff>390525</xdr:rowOff>
    </xdr:to>
    <xdr:sp macro="" textlink="">
      <xdr:nvSpPr>
        <xdr:cNvPr id="2" name="Flecha: a la derecha 8">
          <a:extLst>
            <a:ext uri="{FF2B5EF4-FFF2-40B4-BE49-F238E27FC236}">
              <a16:creationId xmlns:a16="http://schemas.microsoft.com/office/drawing/2014/main" id="{00000000-0008-0000-0600-000002000000}"/>
            </a:ext>
          </a:extLst>
        </xdr:cNvPr>
        <xdr:cNvSpPr>
          <a:spLocks noChangeArrowheads="1"/>
        </xdr:cNvSpPr>
      </xdr:nvSpPr>
      <xdr:spPr bwMode="auto">
        <a:xfrm>
          <a:off x="721179" y="353786"/>
          <a:ext cx="981075" cy="390525"/>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twoCellAnchor>
    <xdr:from>
      <xdr:col>0</xdr:col>
      <xdr:colOff>721178</xdr:colOff>
      <xdr:row>14</xdr:row>
      <xdr:rowOff>13607</xdr:rowOff>
    </xdr:from>
    <xdr:to>
      <xdr:col>1</xdr:col>
      <xdr:colOff>1360</xdr:colOff>
      <xdr:row>14</xdr:row>
      <xdr:rowOff>404132</xdr:rowOff>
    </xdr:to>
    <xdr:sp macro="" textlink="">
      <xdr:nvSpPr>
        <xdr:cNvPr id="3" name="Flecha: a la derecha 8">
          <a:extLst>
            <a:ext uri="{FF2B5EF4-FFF2-40B4-BE49-F238E27FC236}">
              <a16:creationId xmlns:a16="http://schemas.microsoft.com/office/drawing/2014/main" id="{00000000-0008-0000-0600-000003000000}"/>
            </a:ext>
          </a:extLst>
        </xdr:cNvPr>
        <xdr:cNvSpPr>
          <a:spLocks noChangeArrowheads="1"/>
        </xdr:cNvSpPr>
      </xdr:nvSpPr>
      <xdr:spPr bwMode="auto">
        <a:xfrm>
          <a:off x="721178" y="4422321"/>
          <a:ext cx="981075" cy="390525"/>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twoCellAnchor>
    <xdr:from>
      <xdr:col>0</xdr:col>
      <xdr:colOff>693965</xdr:colOff>
      <xdr:row>34</xdr:row>
      <xdr:rowOff>54429</xdr:rowOff>
    </xdr:from>
    <xdr:to>
      <xdr:col>0</xdr:col>
      <xdr:colOff>1675040</xdr:colOff>
      <xdr:row>34</xdr:row>
      <xdr:rowOff>444954</xdr:rowOff>
    </xdr:to>
    <xdr:sp macro="" textlink="">
      <xdr:nvSpPr>
        <xdr:cNvPr id="7" name="Flecha: a la derecha 8">
          <a:extLst>
            <a:ext uri="{FF2B5EF4-FFF2-40B4-BE49-F238E27FC236}">
              <a16:creationId xmlns:a16="http://schemas.microsoft.com/office/drawing/2014/main" id="{00000000-0008-0000-0600-000007000000}"/>
            </a:ext>
          </a:extLst>
        </xdr:cNvPr>
        <xdr:cNvSpPr>
          <a:spLocks noChangeArrowheads="1"/>
        </xdr:cNvSpPr>
      </xdr:nvSpPr>
      <xdr:spPr bwMode="auto">
        <a:xfrm>
          <a:off x="693965" y="10518322"/>
          <a:ext cx="981075" cy="390525"/>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twoCellAnchor editAs="oneCell">
    <xdr:from>
      <xdr:col>0</xdr:col>
      <xdr:colOff>40822</xdr:colOff>
      <xdr:row>0</xdr:row>
      <xdr:rowOff>27214</xdr:rowOff>
    </xdr:from>
    <xdr:to>
      <xdr:col>0</xdr:col>
      <xdr:colOff>555172</xdr:colOff>
      <xdr:row>1</xdr:row>
      <xdr:rowOff>21771</xdr:rowOff>
    </xdr:to>
    <xdr:pic>
      <xdr:nvPicPr>
        <xdr:cNvPr id="9" name="3 Imagen" descr="Logo1">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2" y="27214"/>
          <a:ext cx="514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101843</xdr:colOff>
      <xdr:row>0</xdr:row>
      <xdr:rowOff>52021</xdr:rowOff>
    </xdr:from>
    <xdr:to>
      <xdr:col>0</xdr:col>
      <xdr:colOff>556846</xdr:colOff>
      <xdr:row>1</xdr:row>
      <xdr:rowOff>13189</xdr:rowOff>
    </xdr:to>
    <xdr:pic>
      <xdr:nvPicPr>
        <xdr:cNvPr id="14304092" name="3 Imagen" descr="Logo1">
          <a:extLst>
            <a:ext uri="{FF2B5EF4-FFF2-40B4-BE49-F238E27FC236}">
              <a16:creationId xmlns:a16="http://schemas.microsoft.com/office/drawing/2014/main" id="{00000000-0008-0000-0700-00005C43D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43" y="52021"/>
          <a:ext cx="455003" cy="151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1348155</xdr:colOff>
      <xdr:row>2</xdr:row>
      <xdr:rowOff>0</xdr:rowOff>
    </xdr:from>
    <xdr:to>
      <xdr:col>0</xdr:col>
      <xdr:colOff>2329230</xdr:colOff>
      <xdr:row>2</xdr:row>
      <xdr:rowOff>390525</xdr:rowOff>
    </xdr:to>
    <xdr:sp macro="" textlink="">
      <xdr:nvSpPr>
        <xdr:cNvPr id="4" name="Flecha: a la derecha 8">
          <a:extLst>
            <a:ext uri="{FF2B5EF4-FFF2-40B4-BE49-F238E27FC236}">
              <a16:creationId xmlns:a16="http://schemas.microsoft.com/office/drawing/2014/main" id="{00000000-0008-0000-0700-000004000000}"/>
            </a:ext>
          </a:extLst>
        </xdr:cNvPr>
        <xdr:cNvSpPr>
          <a:spLocks noChangeArrowheads="1"/>
        </xdr:cNvSpPr>
      </xdr:nvSpPr>
      <xdr:spPr bwMode="auto">
        <a:xfrm>
          <a:off x="1348155" y="571500"/>
          <a:ext cx="981075" cy="390525"/>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69606</xdr:colOff>
      <xdr:row>0</xdr:row>
      <xdr:rowOff>14654</xdr:rowOff>
    </xdr:from>
    <xdr:to>
      <xdr:col>0</xdr:col>
      <xdr:colOff>321652</xdr:colOff>
      <xdr:row>0</xdr:row>
      <xdr:rowOff>176579</xdr:rowOff>
    </xdr:to>
    <xdr:pic>
      <xdr:nvPicPr>
        <xdr:cNvPr id="5302207" name="3 Imagen" descr="Logo1">
          <a:extLst>
            <a:ext uri="{FF2B5EF4-FFF2-40B4-BE49-F238E27FC236}">
              <a16:creationId xmlns:a16="http://schemas.microsoft.com/office/drawing/2014/main" id="{00000000-0008-0000-0800-0000BFE75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606" y="14654"/>
          <a:ext cx="252046"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1873250</xdr:colOff>
      <xdr:row>2</xdr:row>
      <xdr:rowOff>158750</xdr:rowOff>
    </xdr:from>
    <xdr:to>
      <xdr:col>0</xdr:col>
      <xdr:colOff>2854325</xdr:colOff>
      <xdr:row>3</xdr:row>
      <xdr:rowOff>184150</xdr:rowOff>
    </xdr:to>
    <xdr:sp macro="" textlink="">
      <xdr:nvSpPr>
        <xdr:cNvPr id="4" name="Flecha: a la derecha 8">
          <a:extLst>
            <a:ext uri="{FF2B5EF4-FFF2-40B4-BE49-F238E27FC236}">
              <a16:creationId xmlns:a16="http://schemas.microsoft.com/office/drawing/2014/main" id="{00000000-0008-0000-0800-000004000000}"/>
            </a:ext>
          </a:extLst>
        </xdr:cNvPr>
        <xdr:cNvSpPr>
          <a:spLocks noChangeArrowheads="1"/>
        </xdr:cNvSpPr>
      </xdr:nvSpPr>
      <xdr:spPr bwMode="auto">
        <a:xfrm>
          <a:off x="1873250" y="539750"/>
          <a:ext cx="981075" cy="390525"/>
        </a:xfrm>
        <a:prstGeom prst="rightArrow">
          <a:avLst>
            <a:gd name="adj1" fmla="val 50000"/>
            <a:gd name="adj2" fmla="val 50593"/>
          </a:avLst>
        </a:prstGeom>
        <a:solidFill>
          <a:srgbClr val="92D050"/>
        </a:solidFill>
        <a:ln w="9525" algn="ctr">
          <a:solidFill>
            <a:schemeClr val="tx1">
              <a:lumMod val="50000"/>
              <a:lumOff val="50000"/>
            </a:schemeClr>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0"/>
  <sheetViews>
    <sheetView showGridLines="0" tabSelected="1" zoomScaleNormal="100" zoomScaleSheetLayoutView="50" workbookViewId="0">
      <selection activeCell="N14" sqref="N14"/>
    </sheetView>
  </sheetViews>
  <sheetFormatPr baseColWidth="10" defaultColWidth="12.33203125" defaultRowHeight="9.75" customHeight="1"/>
  <cols>
    <col min="1" max="1" width="12.33203125" style="341"/>
    <col min="2" max="2" width="10" style="341" customWidth="1"/>
    <col min="3" max="3" width="12.33203125" style="341"/>
    <col min="4" max="4" width="16.83203125" style="341" customWidth="1"/>
    <col min="5" max="5" width="49" style="341" customWidth="1"/>
    <col min="6" max="6" width="6" style="341" customWidth="1"/>
    <col min="7" max="7" width="6.83203125" style="341" customWidth="1"/>
    <col min="8" max="8" width="6.33203125" style="341" customWidth="1"/>
    <col min="9" max="9" width="6.5" style="341" customWidth="1"/>
    <col min="10" max="10" width="5.5" style="341" customWidth="1"/>
    <col min="11" max="16384" width="12.33203125" style="341"/>
  </cols>
  <sheetData>
    <row r="3" spans="1:13" ht="9.75" customHeight="1">
      <c r="E3"/>
    </row>
    <row r="6" spans="1:13" ht="21.75" customHeight="1">
      <c r="H6"/>
    </row>
    <row r="7" spans="1:13" ht="20.25" customHeight="1"/>
    <row r="8" spans="1:13" ht="20.25" customHeight="1">
      <c r="B8" s="716"/>
      <c r="C8" s="716"/>
      <c r="D8" s="717"/>
      <c r="E8" s="717"/>
    </row>
    <row r="9" spans="1:13" ht="9.75" customHeight="1">
      <c r="B9" s="716"/>
      <c r="C9" s="716"/>
      <c r="D9" s="717"/>
      <c r="E9" s="717"/>
    </row>
    <row r="10" spans="1:13" ht="9.75" customHeight="1">
      <c r="B10" s="716"/>
      <c r="C10" s="716"/>
      <c r="D10" s="717"/>
      <c r="E10" s="717"/>
    </row>
    <row r="12" spans="1:13" ht="11.25" customHeight="1">
      <c r="A12" s="719"/>
    </row>
    <row r="13" spans="1:13" ht="18.75" customHeight="1"/>
    <row r="14" spans="1:13" ht="36" customHeight="1">
      <c r="A14" s="3324" t="s">
        <v>863</v>
      </c>
      <c r="B14" s="3325"/>
      <c r="C14" s="3325"/>
      <c r="D14" s="3325"/>
      <c r="E14" s="3325"/>
      <c r="F14" s="3325"/>
      <c r="G14" s="3325"/>
      <c r="H14" s="3325"/>
      <c r="I14" s="3325"/>
      <c r="J14" s="3325"/>
      <c r="K14" s="418"/>
      <c r="L14" s="418"/>
      <c r="M14" s="418"/>
    </row>
    <row r="15" spans="1:13" ht="12" customHeight="1">
      <c r="A15" s="720"/>
      <c r="B15" s="716"/>
      <c r="C15" s="716"/>
      <c r="D15" s="717"/>
      <c r="E15" s="717"/>
    </row>
    <row r="16" spans="1:13" ht="9.75" customHeight="1">
      <c r="B16" s="716"/>
      <c r="C16" s="716"/>
      <c r="D16" s="717"/>
      <c r="E16" s="717"/>
    </row>
    <row r="17" spans="2:10" ht="18" customHeight="1">
      <c r="B17" s="1406"/>
      <c r="C17" s="1467" t="s">
        <v>449</v>
      </c>
      <c r="D17" s="1590" t="s">
        <v>861</v>
      </c>
      <c r="E17" s="1408" t="s">
        <v>521</v>
      </c>
      <c r="F17" s="1406"/>
      <c r="G17" s="1407"/>
      <c r="H17" s="1408"/>
      <c r="I17" s="1409"/>
      <c r="J17" s="1409"/>
    </row>
    <row r="18" spans="2:10" ht="18" customHeight="1">
      <c r="B18" s="716"/>
      <c r="C18" s="718"/>
      <c r="D18" s="1408"/>
      <c r="E18" s="1408" t="s">
        <v>316</v>
      </c>
      <c r="F18" s="1410"/>
      <c r="G18" s="1410"/>
      <c r="H18" s="1408"/>
      <c r="I18" s="1409"/>
      <c r="J18" s="1409"/>
    </row>
    <row r="19" spans="2:10" ht="9.75" customHeight="1">
      <c r="B19" s="716"/>
      <c r="C19" s="718"/>
      <c r="D19" s="718"/>
      <c r="E19" s="718"/>
    </row>
    <row r="20" spans="2:10" ht="9.75" customHeight="1">
      <c r="B20" s="716"/>
      <c r="C20" s="718"/>
      <c r="D20" s="718"/>
      <c r="E20" s="718"/>
    </row>
    <row r="21" spans="2:10" ht="9.75" customHeight="1">
      <c r="B21" s="716"/>
      <c r="C21" s="718"/>
      <c r="D21" s="718"/>
      <c r="E21" s="718"/>
    </row>
    <row r="22" spans="2:10" ht="9.75" customHeight="1">
      <c r="B22" s="716"/>
      <c r="C22" s="718"/>
      <c r="D22" s="718"/>
      <c r="E22" s="718"/>
    </row>
    <row r="23" spans="2:10" ht="9.75" customHeight="1">
      <c r="B23" s="716"/>
      <c r="C23" s="718"/>
      <c r="D23" s="718"/>
      <c r="E23" s="718"/>
    </row>
    <row r="24" spans="2:10" ht="9.75" customHeight="1">
      <c r="B24" s="716"/>
      <c r="C24" s="718"/>
      <c r="D24" s="718"/>
      <c r="E24" s="718"/>
    </row>
    <row r="25" spans="2:10" ht="9.75" customHeight="1">
      <c r="B25" s="716"/>
      <c r="C25" s="718"/>
      <c r="D25" s="718"/>
      <c r="E25" s="718"/>
    </row>
    <row r="26" spans="2:10" ht="9.75" customHeight="1">
      <c r="C26" s="718"/>
      <c r="D26" s="718"/>
      <c r="E26" s="718"/>
    </row>
    <row r="27" spans="2:10" ht="9.75" customHeight="1">
      <c r="C27" s="718"/>
      <c r="D27" s="718"/>
      <c r="E27" s="718"/>
    </row>
    <row r="28" spans="2:10" ht="9.75" customHeight="1">
      <c r="C28" s="718"/>
      <c r="D28" s="718"/>
      <c r="E28" s="718"/>
    </row>
    <row r="29" spans="2:10" ht="9.75" customHeight="1">
      <c r="C29" s="718"/>
      <c r="D29" s="718"/>
      <c r="E29" s="718"/>
    </row>
    <row r="30" spans="2:10" ht="9.75" customHeight="1">
      <c r="C30" s="718"/>
      <c r="D30" s="718"/>
      <c r="E30" s="718"/>
    </row>
  </sheetData>
  <sheetProtection sheet="1" formatColumns="0" formatRows="0"/>
  <mergeCells count="1">
    <mergeCell ref="A14:J14"/>
  </mergeCells>
  <phoneticPr fontId="9" type="noConversion"/>
  <printOptions horizontalCentered="1"/>
  <pageMargins left="0.78740157480314965" right="0.78740157480314965" top="0.4" bottom="0.67" header="0" footer="0"/>
  <pageSetup paperSize="9" scale="8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BX124"/>
  <sheetViews>
    <sheetView showGridLines="0" zoomScale="60" zoomScaleNormal="60" zoomScaleSheetLayoutView="30" workbookViewId="0">
      <pane ySplit="1" topLeftCell="A2" activePane="bottomLeft" state="frozen"/>
      <selection activeCell="K15" sqref="K15"/>
      <selection pane="bottomLeft"/>
    </sheetView>
  </sheetViews>
  <sheetFormatPr baseColWidth="10" defaultColWidth="11.1640625" defaultRowHeight="16.5"/>
  <cols>
    <col min="1" max="1" width="68" style="368" customWidth="1"/>
    <col min="2" max="2" width="2" customWidth="1"/>
    <col min="3" max="4" width="36.83203125" customWidth="1"/>
    <col min="5" max="5" width="24.33203125" style="368" customWidth="1"/>
    <col min="6" max="6" width="3.5" style="368" customWidth="1"/>
    <col min="7" max="7" width="37" style="368" customWidth="1"/>
    <col min="8" max="8" width="4.5" style="368" customWidth="1"/>
    <col min="9" max="9" width="25.1640625" style="368" customWidth="1"/>
    <col min="10" max="10" width="13.1640625" style="368" customWidth="1"/>
    <col min="11" max="11" width="2.1640625" style="368" customWidth="1"/>
    <col min="12" max="12" width="13.1640625" style="368" customWidth="1"/>
    <col min="13" max="13" width="69.83203125" style="368" customWidth="1"/>
    <col min="14" max="14" width="3.6640625" style="2381" customWidth="1"/>
    <col min="15" max="15" width="47.5" style="368" customWidth="1"/>
    <col min="16" max="16" width="4.6640625" style="368" customWidth="1"/>
    <col min="17" max="20" width="15.5" style="368" customWidth="1"/>
    <col min="21" max="21" width="23.6640625" style="368" customWidth="1"/>
    <col min="22" max="22" width="8.83203125" style="368" customWidth="1"/>
    <col min="23" max="23" width="1.6640625" style="2611" customWidth="1"/>
    <col min="24" max="24" width="8.83203125" style="368" customWidth="1"/>
    <col min="25" max="25" width="59" style="368" customWidth="1"/>
    <col min="26" max="26" width="2.33203125" style="368" customWidth="1"/>
    <col min="27" max="28" width="35.33203125" style="368" customWidth="1"/>
    <col min="29" max="29" width="2.83203125" style="368" customWidth="1"/>
    <col min="30" max="33" width="16.5" style="368" customWidth="1"/>
    <col min="34" max="34" width="23.6640625" style="368" customWidth="1"/>
    <col min="35" max="35" width="5" style="368" customWidth="1"/>
    <col min="36" max="36" width="2.33203125" style="368" customWidth="1"/>
    <col min="37" max="37" width="4.5" style="368" customWidth="1"/>
    <col min="38" max="39" width="35.33203125" style="368" customWidth="1"/>
    <col min="40" max="40" width="4" style="368" customWidth="1"/>
    <col min="41" max="44" width="16.6640625" style="368" customWidth="1"/>
    <col min="45" max="45" width="23.33203125" style="368" customWidth="1"/>
    <col min="46" max="46" width="14.6640625" style="368" customWidth="1"/>
    <col min="47" max="47" width="2" style="2611" customWidth="1"/>
    <col min="48" max="49" width="30.5" style="368" hidden="1" customWidth="1"/>
    <col min="50" max="50" width="4.5" style="368" hidden="1" customWidth="1"/>
    <col min="51" max="52" width="30.5" style="368" hidden="1" customWidth="1"/>
    <col min="53" max="53" width="4.5" style="368" hidden="1" customWidth="1"/>
    <col min="54" max="55" width="30.5" style="368" hidden="1" customWidth="1"/>
    <col min="56" max="57" width="14.1640625" style="368" customWidth="1"/>
    <col min="58" max="58" width="10" style="368" customWidth="1"/>
    <col min="59" max="59" width="36" style="336" customWidth="1"/>
    <col min="60" max="60" width="21" style="336" customWidth="1"/>
    <col min="61" max="61" width="6.33203125" style="336" customWidth="1"/>
    <col min="62" max="62" width="36" style="336" customWidth="1"/>
    <col min="63" max="63" width="21" style="336" customWidth="1"/>
    <col min="64" max="64" width="6.33203125" style="336" customWidth="1"/>
    <col min="65" max="65" width="36.5" style="335" customWidth="1"/>
    <col min="66" max="66" width="21" style="335" customWidth="1"/>
    <col min="67" max="67" width="6.33203125" style="335" customWidth="1"/>
    <col min="68" max="68" width="36.1640625" style="335" customWidth="1"/>
    <col min="69" max="69" width="21" style="335" customWidth="1"/>
    <col min="70" max="70" width="6.33203125" style="335" customWidth="1"/>
    <col min="71" max="71" width="36.33203125" style="336" customWidth="1"/>
    <col min="72" max="72" width="20.6640625" style="336" customWidth="1"/>
    <col min="73" max="73" width="2.5" style="336" customWidth="1"/>
    <col min="74" max="74" width="5.83203125" style="336" customWidth="1"/>
    <col min="75" max="16384" width="11.1640625" style="338"/>
  </cols>
  <sheetData>
    <row r="1" spans="1:76" ht="15" customHeight="1">
      <c r="A1" s="528" t="str">
        <f>IF('1.Datos Básicos. Product-Serv'!B5=0,"",'1.Datos Básicos. Product-Serv'!B5)</f>
        <v/>
      </c>
      <c r="E1" s="528"/>
      <c r="F1" s="528"/>
      <c r="G1" s="528"/>
      <c r="H1" s="528"/>
      <c r="I1" s="528"/>
      <c r="J1" s="528"/>
      <c r="K1" s="528"/>
      <c r="L1" s="528"/>
      <c r="M1" s="528"/>
      <c r="N1" s="2379"/>
      <c r="O1" s="528"/>
      <c r="P1" s="528"/>
      <c r="Q1" s="528"/>
      <c r="R1" s="528"/>
      <c r="S1" s="528"/>
      <c r="T1" s="528"/>
      <c r="U1" s="528"/>
      <c r="V1" s="528"/>
      <c r="W1" s="2627"/>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2627"/>
      <c r="AV1" s="528"/>
      <c r="AW1" s="528"/>
      <c r="AX1" s="528"/>
      <c r="AY1" s="528"/>
      <c r="AZ1" s="528"/>
      <c r="BA1" s="528"/>
      <c r="BB1" s="528"/>
      <c r="BC1" s="528"/>
      <c r="BD1" s="528"/>
      <c r="BE1" s="528"/>
      <c r="BF1" s="528"/>
      <c r="BG1" s="334"/>
      <c r="BH1" s="529"/>
      <c r="BI1" s="529"/>
      <c r="BJ1" s="529"/>
      <c r="BK1" s="529"/>
      <c r="BL1" s="529"/>
      <c r="BM1" s="529"/>
      <c r="BN1" s="529"/>
      <c r="BO1" s="529"/>
      <c r="BP1" s="341"/>
      <c r="BQ1" s="530"/>
      <c r="BR1" s="530"/>
      <c r="BS1" s="530"/>
      <c r="BT1" s="530"/>
      <c r="BU1" s="531"/>
      <c r="BV1" s="531"/>
      <c r="BW1" s="531"/>
      <c r="BX1" s="531"/>
    </row>
    <row r="2" spans="1:76" ht="15" customHeight="1">
      <c r="A2" s="528"/>
      <c r="E2" s="528"/>
      <c r="F2" s="528"/>
      <c r="G2" s="528"/>
      <c r="H2" s="528"/>
      <c r="I2" s="528"/>
      <c r="J2" s="528"/>
      <c r="K2" s="528"/>
      <c r="L2" s="528"/>
      <c r="M2" s="528"/>
      <c r="N2" s="2379"/>
      <c r="O2" s="528"/>
      <c r="P2" s="528"/>
      <c r="Q2" s="528"/>
      <c r="R2" s="528"/>
      <c r="S2" s="528"/>
      <c r="T2" s="528"/>
      <c r="U2" s="528"/>
      <c r="V2" s="528"/>
      <c r="W2" s="2627"/>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2627"/>
      <c r="AV2" s="528"/>
      <c r="AW2" s="528"/>
      <c r="AX2" s="528"/>
      <c r="AY2" s="528"/>
      <c r="AZ2" s="528"/>
      <c r="BA2" s="528"/>
      <c r="BB2" s="528"/>
      <c r="BC2" s="528"/>
      <c r="BD2" s="528"/>
      <c r="BE2" s="528"/>
      <c r="BF2" s="528"/>
      <c r="BG2" s="334"/>
      <c r="BH2" s="529"/>
      <c r="BI2" s="529"/>
      <c r="BJ2" s="529"/>
      <c r="BK2" s="529"/>
      <c r="BL2" s="529"/>
      <c r="BM2" s="529"/>
      <c r="BN2" s="529"/>
      <c r="BO2" s="529"/>
      <c r="BP2" s="341"/>
      <c r="BQ2" s="530"/>
      <c r="BR2" s="530"/>
      <c r="BS2" s="530"/>
      <c r="BT2" s="530"/>
      <c r="BU2" s="531"/>
      <c r="BV2" s="531"/>
      <c r="BW2" s="531"/>
      <c r="BX2" s="531"/>
    </row>
    <row r="3" spans="1:76" ht="15" customHeight="1">
      <c r="A3" s="528"/>
      <c r="E3" s="528"/>
      <c r="F3" s="528"/>
      <c r="G3" s="528"/>
      <c r="H3" s="528"/>
      <c r="I3" s="528"/>
      <c r="J3" s="528"/>
      <c r="K3" s="528"/>
      <c r="L3" s="528"/>
      <c r="M3" s="528"/>
      <c r="N3" s="2379"/>
      <c r="O3" s="528"/>
      <c r="P3" s="528"/>
      <c r="Q3" s="528"/>
      <c r="R3" s="528"/>
      <c r="S3" s="528"/>
      <c r="T3" s="528"/>
      <c r="U3" s="528"/>
      <c r="V3" s="528"/>
      <c r="W3" s="2627"/>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2627"/>
      <c r="AV3" s="528"/>
      <c r="AW3" s="528"/>
      <c r="AX3" s="528"/>
      <c r="AY3" s="528"/>
      <c r="AZ3" s="528"/>
      <c r="BA3" s="528"/>
      <c r="BB3" s="528"/>
      <c r="BC3" s="528"/>
      <c r="BD3" s="528"/>
      <c r="BE3" s="528"/>
      <c r="BF3" s="528"/>
      <c r="BG3" s="334"/>
      <c r="BH3" s="529"/>
      <c r="BI3" s="529"/>
      <c r="BJ3" s="529"/>
      <c r="BK3" s="529"/>
      <c r="BL3" s="529"/>
      <c r="BM3" s="529"/>
      <c r="BN3" s="529"/>
      <c r="BO3" s="529"/>
      <c r="BP3" s="341"/>
      <c r="BQ3" s="530"/>
      <c r="BR3" s="530"/>
      <c r="BS3" s="530"/>
      <c r="BT3" s="530"/>
      <c r="BU3" s="531"/>
      <c r="BV3" s="531"/>
      <c r="BW3" s="531"/>
      <c r="BX3" s="531"/>
    </row>
    <row r="4" spans="1:76" ht="28.5" customHeight="1">
      <c r="A4" s="528"/>
      <c r="B4" s="3645" t="s">
        <v>741</v>
      </c>
      <c r="C4" s="3440"/>
      <c r="D4" s="3440"/>
      <c r="E4" s="3440"/>
      <c r="F4" s="3440"/>
      <c r="G4" s="3440"/>
      <c r="H4" s="3440"/>
      <c r="I4" s="3440"/>
      <c r="J4" s="3440"/>
      <c r="K4" s="3440"/>
      <c r="L4" s="3440"/>
      <c r="M4" s="3440"/>
      <c r="N4" s="3440"/>
      <c r="O4" s="3440"/>
      <c r="P4" s="3440"/>
      <c r="Q4" s="3440"/>
      <c r="R4" s="3440"/>
      <c r="S4" s="3440"/>
      <c r="T4" s="3440"/>
      <c r="U4" s="3440"/>
      <c r="V4" s="528"/>
      <c r="W4" s="2627"/>
      <c r="X4" s="528"/>
      <c r="Y4" s="3645" t="s">
        <v>742</v>
      </c>
      <c r="Z4" s="3347"/>
      <c r="AA4" s="3347"/>
      <c r="AB4" s="3347"/>
      <c r="AC4" s="3347"/>
      <c r="AD4" s="3347"/>
      <c r="AE4" s="3347"/>
      <c r="AF4" s="3347"/>
      <c r="AG4" s="3347"/>
      <c r="AH4" s="3347"/>
      <c r="AI4" s="3347"/>
      <c r="AJ4" s="3347"/>
      <c r="AK4" s="3347"/>
      <c r="AL4" s="3347"/>
      <c r="AM4" s="3347"/>
      <c r="AN4" s="3347"/>
      <c r="AO4" s="3347"/>
      <c r="AP4" s="3347"/>
      <c r="AQ4" s="3347"/>
      <c r="AR4" s="3347"/>
      <c r="AS4" s="3347"/>
      <c r="AT4" s="2570"/>
      <c r="AU4" s="2647"/>
      <c r="AV4" s="2570"/>
      <c r="AW4" s="2570"/>
      <c r="AX4" s="2569"/>
      <c r="AY4" s="528"/>
      <c r="AZ4" s="528"/>
      <c r="BA4" s="528"/>
      <c r="BB4" s="528"/>
      <c r="BC4" s="528"/>
      <c r="BD4" s="528"/>
      <c r="BE4" s="528"/>
      <c r="BF4" s="528"/>
      <c r="BG4" s="2560"/>
      <c r="BH4" s="529"/>
      <c r="BI4" s="529"/>
      <c r="BJ4" s="529"/>
      <c r="BK4" s="529"/>
      <c r="BL4" s="529"/>
      <c r="BM4" s="529"/>
      <c r="BN4" s="529"/>
      <c r="BO4" s="529"/>
      <c r="BP4" s="275"/>
      <c r="BQ4" s="546"/>
      <c r="BR4" s="546"/>
      <c r="BS4" s="546"/>
      <c r="BT4" s="546"/>
      <c r="BU4" s="544"/>
      <c r="BV4" s="544"/>
      <c r="BW4" s="544"/>
      <c r="BX4" s="531"/>
    </row>
    <row r="5" spans="1:76" ht="28.5" customHeight="1">
      <c r="A5" s="528"/>
      <c r="B5" s="3350" t="s">
        <v>733</v>
      </c>
      <c r="C5" s="3440"/>
      <c r="D5" s="3440"/>
      <c r="E5" s="3440"/>
      <c r="F5" s="3440"/>
      <c r="G5" s="3440"/>
      <c r="H5" s="3440"/>
      <c r="I5" s="3440"/>
      <c r="J5" s="3440"/>
      <c r="K5" s="3440"/>
      <c r="L5" s="3440"/>
      <c r="M5" s="3440"/>
      <c r="N5" s="3440"/>
      <c r="O5" s="3440"/>
      <c r="P5" s="3440"/>
      <c r="Q5" s="3440"/>
      <c r="R5" s="3440"/>
      <c r="S5" s="3440"/>
      <c r="T5" s="3440"/>
      <c r="U5" s="3440"/>
      <c r="V5" s="528"/>
      <c r="W5" s="2627"/>
      <c r="X5" s="528"/>
      <c r="Y5" s="3346" t="s">
        <v>743</v>
      </c>
      <c r="Z5" s="3347"/>
      <c r="AA5" s="3347"/>
      <c r="AB5" s="3347"/>
      <c r="AC5" s="3347"/>
      <c r="AD5" s="3347"/>
      <c r="AE5" s="3347"/>
      <c r="AF5" s="3347"/>
      <c r="AG5" s="3347"/>
      <c r="AH5" s="3347"/>
      <c r="AI5" s="3347"/>
      <c r="AJ5" s="3347"/>
      <c r="AK5" s="3347"/>
      <c r="AL5" s="3347"/>
      <c r="AM5" s="3347"/>
      <c r="AN5" s="3347"/>
      <c r="AO5" s="3347"/>
      <c r="AP5" s="3347"/>
      <c r="AQ5" s="3347"/>
      <c r="AR5" s="3347"/>
      <c r="AS5" s="3347"/>
      <c r="AT5" s="2570"/>
      <c r="AU5" s="2647"/>
      <c r="AV5" s="2570"/>
      <c r="AW5" s="2570"/>
      <c r="AX5" s="2569"/>
      <c r="AY5" s="528"/>
      <c r="AZ5" s="528"/>
      <c r="BA5" s="528"/>
      <c r="BB5" s="528"/>
      <c r="BC5" s="528"/>
      <c r="BD5" s="528"/>
      <c r="BE5" s="528"/>
      <c r="BF5" s="528"/>
      <c r="BG5" s="2560"/>
      <c r="BH5" s="529"/>
      <c r="BI5" s="529"/>
      <c r="BJ5" s="529"/>
      <c r="BK5" s="529"/>
      <c r="BL5" s="529"/>
      <c r="BM5" s="529"/>
      <c r="BN5" s="529"/>
      <c r="BO5" s="529"/>
      <c r="BP5" s="275"/>
      <c r="BQ5" s="546"/>
      <c r="BR5" s="546"/>
      <c r="BS5" s="546"/>
      <c r="BT5" s="546"/>
      <c r="BU5" s="544"/>
      <c r="BV5" s="544"/>
      <c r="BW5" s="544"/>
      <c r="BX5" s="531"/>
    </row>
    <row r="6" spans="1:76" ht="23.25" customHeight="1">
      <c r="A6" s="1265"/>
      <c r="E6" s="333"/>
      <c r="F6" s="333"/>
      <c r="G6" s="333"/>
      <c r="H6" s="333"/>
      <c r="I6" s="333"/>
      <c r="J6" s="333"/>
      <c r="K6" s="333"/>
      <c r="L6" s="333"/>
      <c r="M6" s="333"/>
      <c r="N6" s="2380"/>
      <c r="O6" s="333"/>
      <c r="P6" s="333"/>
      <c r="Q6" s="333"/>
      <c r="R6" s="333"/>
      <c r="S6" s="333"/>
      <c r="T6" s="333"/>
      <c r="U6" s="333"/>
      <c r="V6" s="333"/>
      <c r="W6" s="2628"/>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2628"/>
      <c r="AV6" s="333"/>
      <c r="AW6" s="333"/>
      <c r="AX6" s="333"/>
      <c r="AY6" s="333"/>
      <c r="AZ6" s="333"/>
      <c r="BA6" s="333"/>
      <c r="BB6" s="333"/>
      <c r="BC6" s="333"/>
      <c r="BD6" s="333"/>
      <c r="BE6" s="333"/>
      <c r="BF6" s="2561"/>
      <c r="BG6" s="2404"/>
      <c r="BH6" s="2556"/>
      <c r="BI6" s="2556"/>
      <c r="BJ6" s="2556"/>
      <c r="BK6" s="2556"/>
      <c r="BL6" s="2556"/>
      <c r="BS6" s="2556"/>
      <c r="BT6" s="2556"/>
      <c r="BU6" s="544"/>
      <c r="BV6" s="544"/>
      <c r="BW6" s="544"/>
      <c r="BX6" s="531"/>
    </row>
    <row r="7" spans="1:76" ht="15" customHeight="1" thickBot="1">
      <c r="P7" s="2405"/>
      <c r="Q7" s="2405"/>
      <c r="R7" s="2405"/>
      <c r="S7" s="2405"/>
      <c r="BF7" s="2405"/>
      <c r="BG7" s="2556"/>
      <c r="BH7" s="2562"/>
      <c r="BI7" s="2562"/>
      <c r="BJ7" s="533"/>
      <c r="BK7" s="436"/>
      <c r="BL7" s="436"/>
      <c r="BM7" s="533"/>
      <c r="BN7" s="533"/>
      <c r="BO7" s="533"/>
      <c r="BP7" s="436"/>
      <c r="BQ7" s="436"/>
      <c r="BR7" s="436"/>
      <c r="BS7" s="2563"/>
      <c r="BT7" s="2563"/>
      <c r="BU7" s="2563"/>
      <c r="BV7" s="2563"/>
      <c r="BW7" s="2563"/>
      <c r="BX7" s="534"/>
    </row>
    <row r="8" spans="1:76" ht="45.75" customHeight="1" thickTop="1" thickBot="1">
      <c r="A8" s="3669" t="s">
        <v>701</v>
      </c>
      <c r="B8" s="3670"/>
      <c r="C8" s="3670"/>
      <c r="D8" s="3670"/>
      <c r="E8" s="3671"/>
      <c r="F8" s="1558"/>
      <c r="G8" s="3672" t="s">
        <v>706</v>
      </c>
      <c r="H8" s="2330"/>
      <c r="I8" s="2343" t="s">
        <v>698</v>
      </c>
      <c r="J8" s="2476"/>
      <c r="K8" s="2532"/>
      <c r="L8" s="2476"/>
      <c r="M8" s="3669" t="s">
        <v>710</v>
      </c>
      <c r="N8" s="3670"/>
      <c r="O8" s="3671"/>
      <c r="P8" s="1206"/>
      <c r="Q8" s="3663" t="s">
        <v>851</v>
      </c>
      <c r="R8" s="3664"/>
      <c r="S8" s="3664"/>
      <c r="T8" s="3664"/>
      <c r="U8" s="3665"/>
      <c r="V8" s="1168"/>
      <c r="W8" s="2608"/>
      <c r="X8" s="1168"/>
      <c r="Y8" s="1168"/>
      <c r="Z8" s="1168"/>
      <c r="AA8" s="3633" t="str">
        <f>AA58</f>
        <v>Durante 1º ejercicio 0</v>
      </c>
      <c r="AB8" s="3634"/>
      <c r="AC8" s="3634"/>
      <c r="AD8" s="3634"/>
      <c r="AE8" s="3634"/>
      <c r="AF8" s="3634"/>
      <c r="AG8" s="3634"/>
      <c r="AH8" s="3455"/>
      <c r="AI8" s="1168"/>
      <c r="AJ8" s="2608"/>
      <c r="AK8" s="1168"/>
      <c r="AL8" s="3633" t="str">
        <f>AL58</f>
        <v>Durante 2º ejercicio 1</v>
      </c>
      <c r="AM8" s="3634"/>
      <c r="AN8" s="3634"/>
      <c r="AO8" s="3634"/>
      <c r="AP8" s="3634"/>
      <c r="AQ8" s="3634"/>
      <c r="AR8" s="3634"/>
      <c r="AS8" s="3455"/>
      <c r="AT8" s="1168"/>
      <c r="AU8" s="2608"/>
      <c r="AV8" s="3631" t="str">
        <f>AV58</f>
        <v>Durante 3º ejercicio 2</v>
      </c>
      <c r="AW8" s="3632"/>
      <c r="AX8" s="1168"/>
      <c r="AY8" s="3631" t="str">
        <f>AY58</f>
        <v>Durante 4º ejercicio 3</v>
      </c>
      <c r="AZ8" s="3632"/>
      <c r="BA8" s="1168"/>
      <c r="BB8" s="3631" t="str">
        <f>BB58</f>
        <v>Durante 5º ejercicio 4</v>
      </c>
      <c r="BC8" s="3632"/>
      <c r="BD8" s="1168"/>
      <c r="BE8" s="1168"/>
      <c r="BF8" s="2341"/>
      <c r="BG8" s="2406"/>
      <c r="BH8" s="2342"/>
      <c r="BI8" s="2342"/>
      <c r="BJ8" s="2342"/>
      <c r="BK8" s="2342"/>
      <c r="BL8" s="2342"/>
      <c r="BM8" s="2406"/>
      <c r="BN8" s="2406"/>
      <c r="BO8" s="2406"/>
      <c r="BP8" s="2406"/>
      <c r="BQ8" s="2406"/>
      <c r="BR8" s="2406"/>
      <c r="BS8" s="2406"/>
      <c r="BT8" s="2406"/>
      <c r="BU8" s="2556"/>
      <c r="BV8" s="2556"/>
      <c r="BW8" s="2420"/>
    </row>
    <row r="9" spans="1:76" ht="57" customHeight="1" thickTop="1" thickBot="1">
      <c r="A9" s="2349" t="s">
        <v>38</v>
      </c>
      <c r="C9" s="2348" t="s">
        <v>848</v>
      </c>
      <c r="D9" s="2347" t="s">
        <v>849</v>
      </c>
      <c r="E9" s="2346" t="s">
        <v>685</v>
      </c>
      <c r="F9" s="2407"/>
      <c r="G9" s="3673"/>
      <c r="H9" s="2338"/>
      <c r="I9" s="2345" t="s">
        <v>700</v>
      </c>
      <c r="J9" s="2424"/>
      <c r="K9" s="2533"/>
      <c r="L9" s="2424"/>
      <c r="M9" s="2494" t="s">
        <v>38</v>
      </c>
      <c r="N9" s="2384"/>
      <c r="O9" s="2495" t="s">
        <v>850</v>
      </c>
      <c r="P9" s="1206"/>
      <c r="Q9" s="3666"/>
      <c r="R9" s="3667"/>
      <c r="S9" s="3667"/>
      <c r="T9" s="3667"/>
      <c r="U9" s="3668"/>
      <c r="V9" s="2338"/>
      <c r="W9" s="2609"/>
      <c r="X9" s="2338"/>
      <c r="Y9" s="2349" t="s">
        <v>38</v>
      </c>
      <c r="Z9" s="2338"/>
      <c r="AA9" s="2549" t="s">
        <v>734</v>
      </c>
      <c r="AB9" s="2550" t="s">
        <v>735</v>
      </c>
      <c r="AC9" s="2338"/>
      <c r="AD9" s="3678" t="s">
        <v>851</v>
      </c>
      <c r="AE9" s="3679"/>
      <c r="AF9" s="3679"/>
      <c r="AG9" s="3679"/>
      <c r="AH9" s="3680"/>
      <c r="AI9" s="2338"/>
      <c r="AJ9" s="2609"/>
      <c r="AK9" s="2338"/>
      <c r="AL9" s="2549" t="s">
        <v>734</v>
      </c>
      <c r="AM9" s="2550" t="s">
        <v>735</v>
      </c>
      <c r="AN9" s="1168"/>
      <c r="AO9" s="3678" t="s">
        <v>851</v>
      </c>
      <c r="AP9" s="3679"/>
      <c r="AQ9" s="3679"/>
      <c r="AR9" s="3679"/>
      <c r="AS9" s="3680"/>
      <c r="AT9" s="2338"/>
      <c r="AU9" s="2609"/>
      <c r="AV9" s="2549" t="s">
        <v>734</v>
      </c>
      <c r="AW9" s="2550" t="s">
        <v>735</v>
      </c>
      <c r="AX9" s="2338"/>
      <c r="AY9" s="2549" t="s">
        <v>734</v>
      </c>
      <c r="AZ9" s="2550" t="s">
        <v>735</v>
      </c>
      <c r="BA9" s="2338"/>
      <c r="BB9" s="2549" t="s">
        <v>734</v>
      </c>
      <c r="BC9" s="2550" t="s">
        <v>735</v>
      </c>
      <c r="BD9" s="2338"/>
      <c r="BE9" s="2338"/>
      <c r="BF9" s="2406"/>
      <c r="BG9" s="2556"/>
      <c r="BH9" s="2556"/>
      <c r="BI9" s="2406"/>
      <c r="BJ9" s="2406"/>
      <c r="BK9" s="2406"/>
      <c r="BL9" s="2406"/>
      <c r="BM9" s="2406"/>
      <c r="BN9" s="2406"/>
      <c r="BO9" s="2406"/>
      <c r="BP9" s="2406"/>
      <c r="BQ9" s="2406"/>
      <c r="BR9" s="2342"/>
      <c r="BS9" s="2406"/>
      <c r="BT9" s="2406"/>
      <c r="BU9" s="2556"/>
      <c r="BV9" s="2556"/>
      <c r="BW9" s="2420"/>
    </row>
    <row r="10" spans="1:76" ht="12" customHeight="1" thickBot="1">
      <c r="A10" s="1516"/>
      <c r="B10" s="1415"/>
      <c r="C10" s="2424"/>
      <c r="D10" s="2424"/>
      <c r="E10" s="2407"/>
      <c r="F10" s="2407"/>
      <c r="G10" s="2425"/>
      <c r="H10" s="2338"/>
      <c r="I10" s="2977"/>
      <c r="J10" s="2424"/>
      <c r="K10" s="2533"/>
      <c r="L10" s="2424"/>
      <c r="M10" s="2424"/>
      <c r="N10" s="2384"/>
      <c r="O10" s="2338"/>
      <c r="P10" s="2342"/>
      <c r="Q10" s="3256"/>
      <c r="R10" s="3258"/>
      <c r="S10" s="3258"/>
      <c r="T10" s="3259"/>
      <c r="U10" s="3257"/>
      <c r="V10" s="2338"/>
      <c r="W10" s="2609"/>
      <c r="X10" s="2338"/>
      <c r="Y10" s="1516"/>
      <c r="Z10" s="2338"/>
      <c r="AA10" s="2338"/>
      <c r="AB10" s="2338"/>
      <c r="AC10" s="2338"/>
      <c r="AD10" s="3279"/>
      <c r="AE10" s="2338"/>
      <c r="AF10" s="2338"/>
      <c r="AG10" s="2338"/>
      <c r="AH10" s="3280"/>
      <c r="AI10" s="2338"/>
      <c r="AJ10" s="2609"/>
      <c r="AK10" s="2338"/>
      <c r="AL10" s="2338"/>
      <c r="AM10" s="2338"/>
      <c r="AN10" s="2338"/>
      <c r="AO10" s="3304"/>
      <c r="AP10" s="3305"/>
      <c r="AQ10" s="3305"/>
      <c r="AR10" s="3305"/>
      <c r="AS10" s="3306"/>
      <c r="AT10" s="2338"/>
      <c r="AU10" s="2609"/>
      <c r="AV10" s="2338"/>
      <c r="AW10" s="2338"/>
      <c r="AX10" s="2338"/>
      <c r="AY10" s="2338"/>
      <c r="AZ10" s="2338"/>
      <c r="BA10" s="2338"/>
      <c r="BB10" s="2338"/>
      <c r="BC10" s="2338"/>
      <c r="BD10" s="2338"/>
      <c r="BE10" s="2338"/>
      <c r="BF10" s="2406"/>
      <c r="BG10" s="2406"/>
      <c r="BH10" s="2406"/>
      <c r="BI10" s="2406"/>
      <c r="BJ10" s="2406"/>
      <c r="BK10" s="2406"/>
      <c r="BL10" s="2406"/>
      <c r="BM10" s="2406"/>
      <c r="BN10" s="2406"/>
      <c r="BO10" s="2406"/>
      <c r="BP10" s="2406"/>
      <c r="BQ10" s="2406"/>
      <c r="BR10" s="2342"/>
      <c r="BS10" s="2406"/>
      <c r="BT10" s="2406"/>
      <c r="BU10" s="2556"/>
      <c r="BV10" s="2556"/>
      <c r="BW10" s="2420"/>
    </row>
    <row r="11" spans="1:76" ht="24" customHeight="1" thickTop="1" thickBot="1">
      <c r="A11" s="2470" t="s">
        <v>732</v>
      </c>
      <c r="B11" s="2468"/>
      <c r="C11" s="2490">
        <f>C22+C28+C31+C34</f>
        <v>0</v>
      </c>
      <c r="D11" s="2490">
        <f>D22+D28+D31+D34</f>
        <v>0</v>
      </c>
      <c r="E11" s="2471"/>
      <c r="F11" s="2471"/>
      <c r="G11" s="2472">
        <f>G22+G28+G31+G34</f>
        <v>0</v>
      </c>
      <c r="H11" s="2338"/>
      <c r="I11" s="2978"/>
      <c r="J11" s="2424"/>
      <c r="K11" s="2533"/>
      <c r="L11" s="2424"/>
      <c r="M11" s="2470" t="s">
        <v>717</v>
      </c>
      <c r="N11" s="2498"/>
      <c r="O11" s="2472">
        <f>O15+O21+O25+O28+O18+O31</f>
        <v>0</v>
      </c>
      <c r="P11" s="2342"/>
      <c r="Q11" s="3240"/>
      <c r="R11" s="3241"/>
      <c r="S11" s="3241"/>
      <c r="T11" s="3242"/>
      <c r="U11" s="3243"/>
      <c r="V11" s="2338"/>
      <c r="W11" s="2609"/>
      <c r="X11" s="2338"/>
      <c r="Y11" s="3681" t="s">
        <v>756</v>
      </c>
      <c r="Z11" s="3682"/>
      <c r="AA11" s="3682"/>
      <c r="AB11" s="3683"/>
      <c r="AC11" s="2338"/>
      <c r="AD11" s="3281"/>
      <c r="AH11" s="3282"/>
      <c r="AI11" s="2338"/>
      <c r="AJ11" s="2609"/>
      <c r="AK11" s="2338"/>
      <c r="AL11" s="3515" t="s">
        <v>756</v>
      </c>
      <c r="AM11" s="3602"/>
      <c r="AN11" s="2342"/>
      <c r="AO11" s="3307"/>
      <c r="AP11" s="2606"/>
      <c r="AQ11" s="2606"/>
      <c r="AR11" s="2606"/>
      <c r="AS11" s="3308"/>
      <c r="AT11" s="2338"/>
      <c r="AU11" s="2609"/>
      <c r="AV11" s="2338"/>
      <c r="AW11" s="2338"/>
      <c r="AX11" s="2338"/>
      <c r="AY11" s="2338"/>
      <c r="AZ11" s="2338"/>
      <c r="BA11" s="2338"/>
      <c r="BB11" s="2338"/>
      <c r="BC11" s="2338"/>
      <c r="BD11" s="2338"/>
      <c r="BE11" s="2338"/>
      <c r="BF11" s="2406"/>
      <c r="BG11" s="2406"/>
      <c r="BH11" s="2406"/>
      <c r="BI11" s="2406"/>
      <c r="BJ11" s="2406"/>
      <c r="BK11" s="2406"/>
      <c r="BL11" s="2406"/>
      <c r="BM11" s="2406"/>
      <c r="BN11" s="2406"/>
      <c r="BO11" s="2406"/>
      <c r="BP11" s="2406"/>
      <c r="BQ11" s="2406"/>
      <c r="BR11" s="2342"/>
      <c r="BS11" s="2406"/>
      <c r="BT11" s="2406"/>
      <c r="BU11" s="2556"/>
      <c r="BV11" s="2556"/>
      <c r="BW11" s="2420"/>
    </row>
    <row r="12" spans="1:76" ht="12" customHeight="1" thickTop="1" thickBot="1">
      <c r="A12" s="1516"/>
      <c r="B12" s="2069"/>
      <c r="C12" s="2424"/>
      <c r="D12" s="2424"/>
      <c r="E12" s="2407"/>
      <c r="F12" s="2407"/>
      <c r="G12" s="2425"/>
      <c r="H12" s="2338"/>
      <c r="I12" s="2979"/>
      <c r="J12" s="2424"/>
      <c r="K12" s="2533"/>
      <c r="L12" s="2424"/>
      <c r="M12" s="2424"/>
      <c r="N12" s="2384"/>
      <c r="O12" s="2338"/>
      <c r="P12" s="2342"/>
      <c r="Q12" s="3240"/>
      <c r="R12" s="3241"/>
      <c r="S12" s="3241"/>
      <c r="T12" s="3242"/>
      <c r="U12" s="3243"/>
      <c r="V12" s="2338"/>
      <c r="W12" s="2609"/>
      <c r="X12" s="2338"/>
      <c r="Y12" s="1516"/>
      <c r="Z12" s="2338"/>
      <c r="AA12" s="2338"/>
      <c r="AB12" s="2338"/>
      <c r="AC12" s="2338"/>
      <c r="AD12" s="3281"/>
      <c r="AH12" s="3282"/>
      <c r="AI12" s="2338"/>
      <c r="AJ12" s="2609"/>
      <c r="AK12" s="2338"/>
      <c r="AL12" s="2338"/>
      <c r="AM12" s="2338"/>
      <c r="AN12" s="2338"/>
      <c r="AO12" s="3307"/>
      <c r="AP12" s="2342"/>
      <c r="AQ12" s="2342"/>
      <c r="AR12" s="2342"/>
      <c r="AS12" s="3309"/>
      <c r="AT12" s="2338"/>
      <c r="AU12" s="2609"/>
      <c r="AV12" s="2338"/>
      <c r="AW12" s="2338"/>
      <c r="AX12" s="2338"/>
      <c r="AY12" s="2338"/>
      <c r="AZ12" s="2338"/>
      <c r="BA12" s="2338"/>
      <c r="BB12" s="2338"/>
      <c r="BC12" s="2338"/>
      <c r="BD12" s="2338"/>
      <c r="BE12" s="2338"/>
      <c r="BF12" s="2406"/>
      <c r="BG12" s="2406"/>
      <c r="BH12" s="2406"/>
      <c r="BI12" s="2406"/>
      <c r="BJ12" s="2406"/>
      <c r="BK12" s="2406"/>
      <c r="BL12" s="2406"/>
      <c r="BM12" s="2406"/>
      <c r="BN12" s="2406"/>
      <c r="BO12" s="2406"/>
      <c r="BP12" s="2406"/>
      <c r="BQ12" s="2406"/>
      <c r="BR12" s="2342"/>
      <c r="BS12" s="2406"/>
      <c r="BT12" s="2406"/>
      <c r="BU12" s="2556"/>
      <c r="BV12" s="2556"/>
      <c r="BW12" s="2420"/>
    </row>
    <row r="13" spans="1:76" ht="23.45" customHeight="1" thickTop="1">
      <c r="A13" s="2426" t="str">
        <f>'(0) 1a. Activos de Partida'!A9</f>
        <v>Terrenos y Bienes Naturales</v>
      </c>
      <c r="C13" s="2429"/>
      <c r="D13" s="2809"/>
      <c r="E13" s="2805">
        <v>0.21</v>
      </c>
      <c r="F13" s="2408"/>
      <c r="G13" s="2427">
        <f t="shared" ref="G13:G21" si="0">C13+D13</f>
        <v>0</v>
      </c>
      <c r="H13" s="2332"/>
      <c r="I13" s="2428">
        <v>0</v>
      </c>
      <c r="J13" s="2477"/>
      <c r="K13" s="2534"/>
      <c r="L13" s="2477"/>
      <c r="M13" s="2360" t="s">
        <v>711</v>
      </c>
      <c r="N13" s="2385"/>
      <c r="O13" s="2429"/>
      <c r="P13" s="2491"/>
      <c r="Q13" s="3244"/>
      <c r="R13" s="3245"/>
      <c r="S13" s="3246"/>
      <c r="T13" s="3246"/>
      <c r="U13" s="3247"/>
      <c r="V13" s="2332"/>
      <c r="W13" s="2536"/>
      <c r="X13" s="2332"/>
      <c r="Y13" s="2426" t="str">
        <f>A13</f>
        <v>Terrenos y Bienes Naturales</v>
      </c>
      <c r="Z13" s="2332"/>
      <c r="AA13" s="2766"/>
      <c r="AB13" s="2553"/>
      <c r="AC13" s="2332"/>
      <c r="AD13" s="3281"/>
      <c r="AH13" s="3282"/>
      <c r="AI13" s="2332"/>
      <c r="AJ13" s="2536"/>
      <c r="AK13" s="2332"/>
      <c r="AL13" s="2766"/>
      <c r="AM13" s="2553"/>
      <c r="AN13" s="1163"/>
      <c r="AO13" s="3281"/>
      <c r="AS13" s="3282"/>
      <c r="AT13" s="2332"/>
      <c r="AU13" s="2536"/>
      <c r="AV13" s="2552"/>
      <c r="AW13" s="2553"/>
      <c r="AX13" s="2332"/>
      <c r="AY13" s="2552"/>
      <c r="AZ13" s="2553"/>
      <c r="BA13" s="2332"/>
      <c r="BB13" s="2588"/>
      <c r="BC13" s="2553"/>
      <c r="BD13" s="2332"/>
      <c r="BE13" s="2332"/>
      <c r="BF13" s="2564"/>
      <c r="BG13" s="2556"/>
      <c r="BH13" s="2556"/>
      <c r="BI13" s="1163"/>
      <c r="BJ13" s="2556"/>
      <c r="BK13" s="2556"/>
      <c r="BL13" s="1163"/>
      <c r="BO13" s="1163"/>
      <c r="BR13" s="2406"/>
      <c r="BS13" s="2556"/>
      <c r="BT13" s="2556"/>
      <c r="BU13" s="535"/>
      <c r="BV13" s="535"/>
      <c r="BW13" s="2420"/>
    </row>
    <row r="14" spans="1:76" ht="23.45" customHeight="1" thickBot="1">
      <c r="A14" s="2358" t="str">
        <f>'(0) 1a. Activos de Partida'!A10</f>
        <v xml:space="preserve">Construcciones </v>
      </c>
      <c r="C14" s="2367"/>
      <c r="D14" s="2810"/>
      <c r="E14" s="2806">
        <v>0.21</v>
      </c>
      <c r="F14" s="2409"/>
      <c r="G14" s="2410">
        <f t="shared" si="0"/>
        <v>0</v>
      </c>
      <c r="H14" s="2339"/>
      <c r="I14" s="2364">
        <v>33</v>
      </c>
      <c r="J14" s="2478"/>
      <c r="K14" s="2535"/>
      <c r="L14" s="2478"/>
      <c r="M14" s="2496" t="s">
        <v>740</v>
      </c>
      <c r="N14" s="2386"/>
      <c r="O14" s="2499"/>
      <c r="P14" s="2491"/>
      <c r="Q14" s="3244"/>
      <c r="R14" s="3245"/>
      <c r="S14" s="3248"/>
      <c r="T14" s="3248"/>
      <c r="U14" s="3249"/>
      <c r="V14" s="2339"/>
      <c r="W14" s="2610"/>
      <c r="X14" s="2339"/>
      <c r="Y14" s="2358" t="str">
        <f>A14</f>
        <v xml:space="preserve">Construcciones </v>
      </c>
      <c r="Z14" s="2339"/>
      <c r="AA14" s="2767"/>
      <c r="AB14" s="2555"/>
      <c r="AC14" s="2339"/>
      <c r="AD14" s="3281"/>
      <c r="AH14" s="3282"/>
      <c r="AI14" s="2339"/>
      <c r="AJ14" s="2610"/>
      <c r="AK14" s="2339"/>
      <c r="AL14" s="2767"/>
      <c r="AM14" s="2555"/>
      <c r="AN14" s="1163"/>
      <c r="AO14" s="3281"/>
      <c r="AS14" s="3282"/>
      <c r="AT14" s="2339"/>
      <c r="AU14" s="2610"/>
      <c r="AV14" s="2554"/>
      <c r="AW14" s="2555"/>
      <c r="AX14" s="2339"/>
      <c r="AY14" s="2554"/>
      <c r="AZ14" s="2555"/>
      <c r="BA14" s="2339"/>
      <c r="BB14" s="2589"/>
      <c r="BC14" s="2555"/>
      <c r="BD14" s="2339"/>
      <c r="BE14" s="2339"/>
      <c r="BF14" s="962"/>
      <c r="BG14" s="2556"/>
      <c r="BH14" s="2556"/>
      <c r="BI14" s="1163"/>
      <c r="BJ14" s="2556"/>
      <c r="BK14" s="2556"/>
      <c r="BL14" s="1163"/>
      <c r="BO14" s="1163"/>
      <c r="BR14" s="1163"/>
      <c r="BS14" s="2556"/>
      <c r="BT14" s="2556"/>
      <c r="BU14" s="535"/>
      <c r="BV14" s="535"/>
      <c r="BW14" s="2420"/>
    </row>
    <row r="15" spans="1:76" ht="23.45" customHeight="1" thickBot="1">
      <c r="A15" s="2359" t="str">
        <f>'(0) 1a. Activos de Partida'!A11</f>
        <v xml:space="preserve">Instalaciones/Acondicionamiento </v>
      </c>
      <c r="C15" s="2366"/>
      <c r="D15" s="2811"/>
      <c r="E15" s="2807">
        <v>0.21</v>
      </c>
      <c r="F15" s="2408"/>
      <c r="G15" s="2410">
        <f t="shared" si="0"/>
        <v>0</v>
      </c>
      <c r="H15" s="2332"/>
      <c r="I15" s="2365">
        <v>5</v>
      </c>
      <c r="J15" s="2477"/>
      <c r="K15" s="2534"/>
      <c r="L15" s="2477"/>
      <c r="M15" s="2419" t="s">
        <v>722</v>
      </c>
      <c r="N15" s="2385"/>
      <c r="O15" s="2500">
        <f>O13+O14</f>
        <v>0</v>
      </c>
      <c r="P15" s="2492"/>
      <c r="Q15" s="3250"/>
      <c r="R15" s="3251"/>
      <c r="S15" s="3246"/>
      <c r="T15" s="3246"/>
      <c r="U15" s="3247"/>
      <c r="V15" s="2332"/>
      <c r="W15" s="2536"/>
      <c r="X15" s="2332"/>
      <c r="Y15" s="2359" t="str">
        <f>A15</f>
        <v xml:space="preserve">Instalaciones/Acondicionamiento </v>
      </c>
      <c r="Z15" s="2332"/>
      <c r="AA15" s="2768"/>
      <c r="AB15" s="2555"/>
      <c r="AC15" s="2332"/>
      <c r="AD15" s="3281"/>
      <c r="AH15" s="3282"/>
      <c r="AI15" s="2332"/>
      <c r="AJ15" s="2536"/>
      <c r="AK15" s="2332"/>
      <c r="AL15" s="2767"/>
      <c r="AM15" s="2555"/>
      <c r="AN15" s="1163"/>
      <c r="AO15" s="3281"/>
      <c r="AS15" s="3282"/>
      <c r="AT15" s="2332"/>
      <c r="AU15" s="2536"/>
      <c r="AV15" s="2554"/>
      <c r="AW15" s="2555"/>
      <c r="AX15" s="2332"/>
      <c r="AY15" s="2554"/>
      <c r="AZ15" s="2555"/>
      <c r="BA15" s="2332"/>
      <c r="BB15" s="2589"/>
      <c r="BC15" s="2555"/>
      <c r="BD15" s="2332"/>
      <c r="BE15" s="2332"/>
      <c r="BF15" s="2564"/>
      <c r="BG15" s="2556"/>
      <c r="BH15" s="2556"/>
      <c r="BI15" s="1163"/>
      <c r="BJ15" s="2556"/>
      <c r="BK15" s="2556"/>
      <c r="BL15" s="1163"/>
      <c r="BO15" s="1163"/>
      <c r="BR15" s="1163"/>
      <c r="BS15" s="2556"/>
      <c r="BT15" s="2556"/>
      <c r="BU15" s="535"/>
      <c r="BV15" s="535"/>
      <c r="BW15" s="2420"/>
    </row>
    <row r="16" spans="1:76" ht="23.45" customHeight="1" thickTop="1" thickBot="1">
      <c r="A16" s="2358" t="str">
        <f>'(0) 1a. Activos de Partida'!A12</f>
        <v xml:space="preserve">Maquinaria  </v>
      </c>
      <c r="C16" s="2367"/>
      <c r="D16" s="2810"/>
      <c r="E16" s="2806">
        <v>0.21</v>
      </c>
      <c r="F16" s="2409"/>
      <c r="G16" s="2410">
        <f t="shared" si="0"/>
        <v>0</v>
      </c>
      <c r="H16" s="2339"/>
      <c r="I16" s="2364">
        <v>10</v>
      </c>
      <c r="J16" s="2478"/>
      <c r="K16" s="2535"/>
      <c r="L16" s="2478"/>
      <c r="Q16" s="3250"/>
      <c r="R16" s="3251"/>
      <c r="S16" s="3246"/>
      <c r="T16" s="3246"/>
      <c r="U16" s="3247"/>
      <c r="V16" s="2339"/>
      <c r="W16" s="2610"/>
      <c r="X16" s="2339"/>
      <c r="Y16" s="2359" t="str">
        <f t="shared" ref="Y16:Y21" si="1">A16</f>
        <v xml:space="preserve">Maquinaria  </v>
      </c>
      <c r="Z16" s="2339"/>
      <c r="AA16" s="2767"/>
      <c r="AB16" s="2555"/>
      <c r="AC16" s="2339"/>
      <c r="AD16" s="3283"/>
      <c r="AE16" s="2607"/>
      <c r="AF16" s="2607"/>
      <c r="AG16" s="2607"/>
      <c r="AH16" s="3284"/>
      <c r="AI16" s="2339"/>
      <c r="AJ16" s="2610"/>
      <c r="AK16" s="2339"/>
      <c r="AL16" s="2767"/>
      <c r="AM16" s="2555"/>
      <c r="AN16" s="1163"/>
      <c r="AO16" s="3283"/>
      <c r="AP16" s="3310"/>
      <c r="AQ16" s="3310"/>
      <c r="AR16" s="3310"/>
      <c r="AS16" s="3284"/>
      <c r="AT16" s="2339"/>
      <c r="AU16" s="2610"/>
      <c r="AV16" s="2554"/>
      <c r="AW16" s="2555"/>
      <c r="AX16" s="2339"/>
      <c r="AY16" s="2554"/>
      <c r="AZ16" s="2555"/>
      <c r="BA16" s="2339"/>
      <c r="BB16" s="2589"/>
      <c r="BC16" s="2555"/>
      <c r="BD16" s="2339"/>
      <c r="BE16" s="2339"/>
      <c r="BF16" s="962"/>
      <c r="BG16" s="2556"/>
      <c r="BH16" s="2556"/>
      <c r="BI16" s="1163"/>
      <c r="BJ16" s="2556"/>
      <c r="BK16" s="2556"/>
      <c r="BL16" s="1163"/>
      <c r="BO16" s="1163"/>
      <c r="BR16" s="1163"/>
      <c r="BS16" s="2556"/>
      <c r="BT16" s="2556"/>
      <c r="BU16" s="535"/>
      <c r="BV16" s="535"/>
      <c r="BW16" s="2420"/>
    </row>
    <row r="17" spans="1:75" ht="23.45" customHeight="1" thickTop="1" thickBot="1">
      <c r="A17" s="2358" t="str">
        <f>'(0) 1a. Activos de Partida'!A13</f>
        <v xml:space="preserve">Utillaje, Herramientas, Menaje,… </v>
      </c>
      <c r="C17" s="2366"/>
      <c r="D17" s="2811"/>
      <c r="E17" s="2807">
        <v>0.21</v>
      </c>
      <c r="F17" s="2408"/>
      <c r="G17" s="2410">
        <f t="shared" si="0"/>
        <v>0</v>
      </c>
      <c r="H17" s="2332"/>
      <c r="I17" s="2365">
        <v>5</v>
      </c>
      <c r="J17" s="2477"/>
      <c r="K17" s="2534"/>
      <c r="L17" s="2477"/>
      <c r="M17" s="2360" t="s">
        <v>726</v>
      </c>
      <c r="N17" s="2385"/>
      <c r="O17" s="2505">
        <f>C11+C36</f>
        <v>0</v>
      </c>
      <c r="Q17" s="3250"/>
      <c r="R17" s="3251"/>
      <c r="S17" s="3246"/>
      <c r="T17" s="3246"/>
      <c r="U17" s="3247"/>
      <c r="V17" s="2332"/>
      <c r="W17" s="2536"/>
      <c r="X17" s="2332"/>
      <c r="Y17" s="2359" t="str">
        <f t="shared" si="1"/>
        <v xml:space="preserve">Utillaje, Herramientas, Menaje,… </v>
      </c>
      <c r="Z17" s="2332"/>
      <c r="AA17" s="2768"/>
      <c r="AB17" s="2555"/>
      <c r="AC17" s="2332"/>
      <c r="AD17" s="3628" t="s">
        <v>754</v>
      </c>
      <c r="AE17" s="3629"/>
      <c r="AF17" s="3629"/>
      <c r="AG17" s="3629"/>
      <c r="AH17" s="3630"/>
      <c r="AI17" s="2332"/>
      <c r="AJ17" s="2536"/>
      <c r="AK17" s="2332"/>
      <c r="AL17" s="2767"/>
      <c r="AM17" s="2555"/>
      <c r="AN17" s="1163"/>
      <c r="AO17" s="3628" t="s">
        <v>754</v>
      </c>
      <c r="AP17" s="3629"/>
      <c r="AQ17" s="3629"/>
      <c r="AR17" s="3629"/>
      <c r="AS17" s="3630"/>
      <c r="AT17" s="2332"/>
      <c r="AU17" s="2536"/>
      <c r="AV17" s="2554"/>
      <c r="AW17" s="2555"/>
      <c r="AX17" s="2332"/>
      <c r="AY17" s="2554"/>
      <c r="AZ17" s="2555"/>
      <c r="BA17" s="2332"/>
      <c r="BB17" s="2589"/>
      <c r="BC17" s="2555"/>
      <c r="BD17" s="2332"/>
      <c r="BE17" s="2332"/>
      <c r="BF17" s="2564"/>
      <c r="BG17" s="2556"/>
      <c r="BH17" s="2556"/>
      <c r="BI17" s="1163"/>
      <c r="BJ17" s="2556"/>
      <c r="BK17" s="2556"/>
      <c r="BL17" s="1163"/>
      <c r="BO17" s="1163"/>
      <c r="BR17" s="1163"/>
      <c r="BS17" s="2556"/>
      <c r="BT17" s="2556"/>
      <c r="BU17" s="535"/>
      <c r="BV17" s="535"/>
      <c r="BW17" s="2420"/>
    </row>
    <row r="18" spans="1:75" ht="23.45" customHeight="1" thickBot="1">
      <c r="A18" s="2358" t="str">
        <f>'(0) 1a. Activos de Partida'!A14</f>
        <v xml:space="preserve">Mobiliario y Enseres  </v>
      </c>
      <c r="C18" s="2367"/>
      <c r="D18" s="2810"/>
      <c r="E18" s="2806">
        <v>0.21</v>
      </c>
      <c r="F18" s="2409"/>
      <c r="G18" s="2410">
        <f t="shared" si="0"/>
        <v>0</v>
      </c>
      <c r="H18" s="2339"/>
      <c r="I18" s="2364">
        <v>10</v>
      </c>
      <c r="J18" s="2478"/>
      <c r="K18" s="2535"/>
      <c r="L18" s="2478"/>
      <c r="M18" s="2419" t="s">
        <v>727</v>
      </c>
      <c r="N18" s="2344"/>
      <c r="O18" s="2501">
        <f>O17</f>
        <v>0</v>
      </c>
      <c r="P18" s="2491"/>
      <c r="Q18" s="3250"/>
      <c r="R18" s="3251"/>
      <c r="S18" s="3246"/>
      <c r="T18" s="3246"/>
      <c r="U18" s="3247"/>
      <c r="V18" s="2339"/>
      <c r="W18" s="2610"/>
      <c r="X18" s="2339"/>
      <c r="Y18" s="2359" t="str">
        <f t="shared" si="1"/>
        <v xml:space="preserve">Mobiliario y Enseres  </v>
      </c>
      <c r="Z18" s="2339"/>
      <c r="AA18" s="2767"/>
      <c r="AB18" s="2555"/>
      <c r="AC18" s="2339"/>
      <c r="AD18" s="3639" t="s">
        <v>9</v>
      </c>
      <c r="AE18" s="3635" t="s">
        <v>10</v>
      </c>
      <c r="AF18" s="3635" t="s">
        <v>730</v>
      </c>
      <c r="AG18" s="3635" t="s">
        <v>728</v>
      </c>
      <c r="AH18" s="3637" t="s">
        <v>729</v>
      </c>
      <c r="AI18" s="2339"/>
      <c r="AJ18" s="2610"/>
      <c r="AK18" s="2339"/>
      <c r="AL18" s="2767"/>
      <c r="AM18" s="2555"/>
      <c r="AN18" s="1163"/>
      <c r="AO18" s="3639" t="s">
        <v>9</v>
      </c>
      <c r="AP18" s="3635" t="s">
        <v>10</v>
      </c>
      <c r="AQ18" s="3635" t="s">
        <v>730</v>
      </c>
      <c r="AR18" s="3635" t="s">
        <v>728</v>
      </c>
      <c r="AS18" s="3637" t="s">
        <v>729</v>
      </c>
      <c r="AT18" s="2339"/>
      <c r="AU18" s="2610"/>
      <c r="AV18" s="2554"/>
      <c r="AW18" s="2555"/>
      <c r="AX18" s="2339"/>
      <c r="AY18" s="2554"/>
      <c r="AZ18" s="2555"/>
      <c r="BA18" s="2339"/>
      <c r="BB18" s="2589"/>
      <c r="BC18" s="2555"/>
      <c r="BD18" s="2339"/>
      <c r="BE18" s="2339"/>
      <c r="BF18" s="962"/>
      <c r="BG18" s="2556"/>
      <c r="BH18" s="2556"/>
      <c r="BI18" s="1163"/>
      <c r="BJ18" s="2556"/>
      <c r="BK18" s="2556"/>
      <c r="BL18" s="1163"/>
      <c r="BO18" s="1163"/>
      <c r="BR18" s="1163"/>
      <c r="BS18" s="2556"/>
      <c r="BT18" s="2556"/>
      <c r="BU18" s="536"/>
      <c r="BV18" s="536"/>
      <c r="BW18" s="2420"/>
    </row>
    <row r="19" spans="1:75" ht="23.45" customHeight="1" thickTop="1" thickBot="1">
      <c r="A19" s="2358" t="str">
        <f>'(0) 1a. Activos de Partida'!A15</f>
        <v>Elementos de Transporte</v>
      </c>
      <c r="C19" s="2366"/>
      <c r="D19" s="2811"/>
      <c r="E19" s="2807">
        <v>0.21</v>
      </c>
      <c r="F19" s="2408"/>
      <c r="G19" s="2410">
        <f t="shared" si="0"/>
        <v>0</v>
      </c>
      <c r="H19" s="2332"/>
      <c r="I19" s="2365">
        <v>5</v>
      </c>
      <c r="J19" s="2477"/>
      <c r="K19" s="2534"/>
      <c r="L19" s="2477"/>
      <c r="Q19" s="3250"/>
      <c r="R19" s="3251"/>
      <c r="S19" s="3246"/>
      <c r="T19" s="3246"/>
      <c r="U19" s="3247"/>
      <c r="V19" s="2332"/>
      <c r="W19" s="2536"/>
      <c r="X19" s="2332"/>
      <c r="Y19" s="2359" t="str">
        <f t="shared" si="1"/>
        <v>Elementos de Transporte</v>
      </c>
      <c r="Z19" s="2332"/>
      <c r="AA19" s="2768"/>
      <c r="AB19" s="2555"/>
      <c r="AC19" s="2332"/>
      <c r="AD19" s="3640"/>
      <c r="AE19" s="3636"/>
      <c r="AF19" s="3636"/>
      <c r="AG19" s="3636"/>
      <c r="AH19" s="3638"/>
      <c r="AI19" s="2332"/>
      <c r="AJ19" s="2536"/>
      <c r="AK19" s="2332"/>
      <c r="AL19" s="2767"/>
      <c r="AM19" s="2555"/>
      <c r="AN19" s="1163"/>
      <c r="AO19" s="3640"/>
      <c r="AP19" s="3636"/>
      <c r="AQ19" s="3636"/>
      <c r="AR19" s="3636"/>
      <c r="AS19" s="3638"/>
      <c r="AT19" s="2332"/>
      <c r="AU19" s="2536"/>
      <c r="AV19" s="2554"/>
      <c r="AW19" s="2555"/>
      <c r="AX19" s="2332"/>
      <c r="AY19" s="2554"/>
      <c r="AZ19" s="2555"/>
      <c r="BA19" s="2332"/>
      <c r="BB19" s="2589"/>
      <c r="BC19" s="2555"/>
      <c r="BD19" s="2332"/>
      <c r="BE19" s="2332"/>
      <c r="BF19" s="2564"/>
      <c r="BG19" s="2556"/>
      <c r="BH19" s="2556"/>
      <c r="BI19" s="1163"/>
      <c r="BJ19" s="2556"/>
      <c r="BK19" s="2556"/>
      <c r="BL19" s="1163"/>
      <c r="BO19" s="1163"/>
      <c r="BR19" s="1163"/>
      <c r="BS19" s="2556"/>
      <c r="BT19" s="2556"/>
      <c r="BU19" s="536"/>
      <c r="BV19" s="536"/>
      <c r="BW19" s="2420"/>
    </row>
    <row r="20" spans="1:75" ht="23.45" customHeight="1" thickTop="1" thickBot="1">
      <c r="A20" s="2358" t="str">
        <f>'(0) 1a. Activos de Partida'!A16</f>
        <v xml:space="preserve">Equipos Informáticos y de las Comunicaciones </v>
      </c>
      <c r="C20" s="2367"/>
      <c r="D20" s="2810"/>
      <c r="E20" s="2806">
        <v>0.21</v>
      </c>
      <c r="F20" s="2409"/>
      <c r="G20" s="2410">
        <f t="shared" si="0"/>
        <v>0</v>
      </c>
      <c r="H20" s="2339"/>
      <c r="I20" s="2364">
        <v>4</v>
      </c>
      <c r="J20" s="2478"/>
      <c r="K20" s="2535"/>
      <c r="L20" s="2478"/>
      <c r="M20" s="2360" t="s">
        <v>712</v>
      </c>
      <c r="N20" s="2385"/>
      <c r="O20" s="2429"/>
      <c r="Q20" s="3250"/>
      <c r="R20" s="3251"/>
      <c r="S20" s="3246"/>
      <c r="T20" s="3246"/>
      <c r="U20" s="3247"/>
      <c r="V20" s="2339"/>
      <c r="W20" s="2610"/>
      <c r="X20" s="2339"/>
      <c r="Y20" s="2359" t="str">
        <f t="shared" si="1"/>
        <v xml:space="preserve">Equipos Informáticos y de las Comunicaciones </v>
      </c>
      <c r="Z20" s="2339"/>
      <c r="AA20" s="2767"/>
      <c r="AB20" s="2555"/>
      <c r="AC20" s="2339"/>
      <c r="AD20" s="2599">
        <v>0.05</v>
      </c>
      <c r="AE20" s="2600">
        <v>4</v>
      </c>
      <c r="AF20" s="2601">
        <v>12</v>
      </c>
      <c r="AG20" s="2601">
        <v>0</v>
      </c>
      <c r="AH20" s="2602">
        <v>0</v>
      </c>
      <c r="AI20" s="2339"/>
      <c r="AJ20" s="2610"/>
      <c r="AK20" s="2339"/>
      <c r="AL20" s="2767"/>
      <c r="AM20" s="2555"/>
      <c r="AN20" s="1163"/>
      <c r="AO20" s="2599">
        <v>0.05</v>
      </c>
      <c r="AP20" s="2600">
        <v>4</v>
      </c>
      <c r="AQ20" s="2601">
        <v>12</v>
      </c>
      <c r="AR20" s="2601">
        <v>0</v>
      </c>
      <c r="AS20" s="2602">
        <v>0</v>
      </c>
      <c r="AT20" s="2339"/>
      <c r="AU20" s="2610"/>
      <c r="AV20" s="2554"/>
      <c r="AW20" s="2555"/>
      <c r="AX20" s="2339"/>
      <c r="AY20" s="2554"/>
      <c r="AZ20" s="2555"/>
      <c r="BA20" s="2339"/>
      <c r="BB20" s="2589"/>
      <c r="BC20" s="2555"/>
      <c r="BD20" s="2339"/>
      <c r="BE20" s="2339"/>
      <c r="BF20" s="962"/>
      <c r="BG20" s="2556"/>
      <c r="BH20" s="2556"/>
      <c r="BI20" s="1163"/>
      <c r="BJ20" s="2556"/>
      <c r="BK20" s="2556"/>
      <c r="BL20" s="1163"/>
      <c r="BO20" s="1163"/>
      <c r="BR20" s="1163"/>
      <c r="BS20" s="2556"/>
      <c r="BT20" s="2556"/>
      <c r="BU20" s="536"/>
      <c r="BV20" s="536"/>
      <c r="BW20" s="2420"/>
    </row>
    <row r="21" spans="1:75" ht="23.45" customHeight="1" thickTop="1" thickBot="1">
      <c r="A21" s="2350" t="str">
        <f>'(0) 1a. Activos de Partida'!A17</f>
        <v xml:space="preserve">Otro Inmovilizado Material  </v>
      </c>
      <c r="C21" s="2366"/>
      <c r="D21" s="2812"/>
      <c r="E21" s="2808">
        <v>0.21</v>
      </c>
      <c r="F21" s="2408"/>
      <c r="G21" s="2411">
        <f t="shared" si="0"/>
        <v>0</v>
      </c>
      <c r="H21" s="2332"/>
      <c r="I21" s="2433">
        <v>4</v>
      </c>
      <c r="J21" s="2477"/>
      <c r="K21" s="2534"/>
      <c r="L21" s="2477"/>
      <c r="M21" s="2419" t="s">
        <v>723</v>
      </c>
      <c r="N21" s="2344"/>
      <c r="O21" s="2501">
        <f>O20</f>
        <v>0</v>
      </c>
      <c r="Q21" s="3250"/>
      <c r="R21" s="3251"/>
      <c r="S21" s="3246"/>
      <c r="T21" s="3246"/>
      <c r="U21" s="3247"/>
      <c r="V21" s="2332"/>
      <c r="W21" s="2536"/>
      <c r="X21" s="2332"/>
      <c r="Y21" s="2359" t="str">
        <f t="shared" si="1"/>
        <v xml:space="preserve">Otro Inmovilizado Material  </v>
      </c>
      <c r="Z21" s="2332"/>
      <c r="AA21" s="2768"/>
      <c r="AB21" s="2555"/>
      <c r="AC21" s="2332"/>
      <c r="AD21" s="3283"/>
      <c r="AE21" s="2607"/>
      <c r="AF21" s="2607"/>
      <c r="AG21" s="2607"/>
      <c r="AH21" s="3284"/>
      <c r="AI21" s="2332"/>
      <c r="AJ21" s="2536"/>
      <c r="AK21" s="2332"/>
      <c r="AL21" s="2767"/>
      <c r="AM21" s="2555"/>
      <c r="AN21" s="1163"/>
      <c r="AO21" s="3301"/>
      <c r="AP21" s="3302"/>
      <c r="AQ21" s="3302"/>
      <c r="AR21" s="3302"/>
      <c r="AS21" s="3303"/>
      <c r="AT21" s="2332"/>
      <c r="AU21" s="2536"/>
      <c r="AV21" s="2568"/>
      <c r="AW21" s="2555"/>
      <c r="AX21" s="2332"/>
      <c r="AY21" s="2568"/>
      <c r="AZ21" s="2555"/>
      <c r="BA21" s="2332"/>
      <c r="BB21" s="2590"/>
      <c r="BC21" s="2555"/>
      <c r="BD21" s="2332"/>
      <c r="BE21" s="2332"/>
      <c r="BF21" s="2564"/>
      <c r="BG21" s="2556"/>
      <c r="BH21" s="2556"/>
      <c r="BI21" s="1163"/>
      <c r="BJ21" s="2556"/>
      <c r="BK21" s="2556"/>
      <c r="BL21" s="1163"/>
      <c r="BO21" s="1163"/>
      <c r="BR21" s="1163"/>
      <c r="BS21" s="2556"/>
      <c r="BT21" s="2556"/>
      <c r="BU21" s="2556"/>
      <c r="BV21" s="2556"/>
      <c r="BW21" s="2420"/>
    </row>
    <row r="22" spans="1:75" ht="23.45" customHeight="1" thickTop="1" thickBot="1">
      <c r="A22" s="2351" t="s">
        <v>704</v>
      </c>
      <c r="C22" s="2412">
        <f>SUM(C13:C21)</f>
        <v>0</v>
      </c>
      <c r="D22" s="2413">
        <f>SUM(D13:D21)</f>
        <v>0</v>
      </c>
      <c r="E22" s="1520"/>
      <c r="F22" s="1164"/>
      <c r="G22" s="2416">
        <f>SUM(G13:G21)</f>
        <v>0</v>
      </c>
      <c r="H22" s="1164"/>
      <c r="I22" s="2980"/>
      <c r="J22" s="1164"/>
      <c r="K22" s="2219"/>
      <c r="L22" s="1164"/>
      <c r="Q22" s="3250"/>
      <c r="R22" s="3251"/>
      <c r="S22" s="3246"/>
      <c r="T22" s="3246"/>
      <c r="U22" s="3247"/>
      <c r="V22" s="1164"/>
      <c r="W22" s="2219"/>
      <c r="X22" s="1164"/>
      <c r="Y22" s="2351" t="s">
        <v>704</v>
      </c>
      <c r="Z22" s="1164"/>
      <c r="AA22" s="2769">
        <f>SUM(AA13:AA21)</f>
        <v>0</v>
      </c>
      <c r="AB22" s="2574"/>
      <c r="AC22" s="1164"/>
      <c r="AD22" s="3628" t="s">
        <v>753</v>
      </c>
      <c r="AE22" s="3629"/>
      <c r="AF22" s="3629"/>
      <c r="AG22" s="3629"/>
      <c r="AH22" s="3630"/>
      <c r="AI22" s="1164"/>
      <c r="AJ22" s="2219"/>
      <c r="AK22" s="1164"/>
      <c r="AL22" s="2769">
        <f>SUM(AL13:AL21)</f>
        <v>0</v>
      </c>
      <c r="AM22" s="2575"/>
      <c r="AN22" s="539"/>
      <c r="AO22" s="3628" t="s">
        <v>753</v>
      </c>
      <c r="AP22" s="3629"/>
      <c r="AQ22" s="3629"/>
      <c r="AR22" s="3629"/>
      <c r="AS22" s="3630"/>
      <c r="AT22" s="1164"/>
      <c r="AU22" s="2219"/>
      <c r="AV22" s="537">
        <f>SUM(AV13:AV21)</f>
        <v>0</v>
      </c>
      <c r="AW22" s="538"/>
      <c r="AX22" s="1164"/>
      <c r="AY22" s="537">
        <f>SUM(AY13:AY21)</f>
        <v>0</v>
      </c>
      <c r="AZ22" s="538"/>
      <c r="BA22" s="1164"/>
      <c r="BB22" s="1166">
        <f>SUM(BB13:BB21)</f>
        <v>0</v>
      </c>
      <c r="BC22" s="538"/>
      <c r="BD22" s="1164"/>
      <c r="BE22" s="1164"/>
      <c r="BF22" s="1164"/>
      <c r="BG22" s="2556"/>
      <c r="BH22" s="2556"/>
      <c r="BI22" s="539"/>
      <c r="BJ22" s="2556"/>
      <c r="BK22" s="2556"/>
      <c r="BL22" s="539"/>
      <c r="BO22" s="539"/>
      <c r="BR22" s="1163"/>
      <c r="BS22" s="2556"/>
      <c r="BT22" s="2556"/>
      <c r="BU22" s="2556"/>
      <c r="BV22" s="2556"/>
      <c r="BW22" s="2420"/>
    </row>
    <row r="23" spans="1:75" ht="23.45" customHeight="1" thickTop="1" thickBot="1">
      <c r="I23" s="2981"/>
      <c r="J23" s="2478"/>
      <c r="K23" s="2535"/>
      <c r="L23" s="2478"/>
      <c r="M23" s="2360" t="s">
        <v>713</v>
      </c>
      <c r="N23" s="2386"/>
      <c r="O23" s="2502"/>
      <c r="P23" s="2491"/>
      <c r="Q23" s="3252"/>
      <c r="R23" s="3253"/>
      <c r="S23" s="3254"/>
      <c r="T23" s="3254"/>
      <c r="U23" s="3255"/>
      <c r="V23" s="2339"/>
      <c r="W23" s="2610"/>
      <c r="X23" s="2339"/>
      <c r="Y23" s="2360" t="str">
        <f>A24</f>
        <v xml:space="preserve">Gastos de I+D (Propiedad de la Innovación) </v>
      </c>
      <c r="Z23" s="2339"/>
      <c r="AA23" s="2770"/>
      <c r="AB23" s="2555"/>
      <c r="AC23" s="2339"/>
      <c r="AD23" s="3639" t="s">
        <v>9</v>
      </c>
      <c r="AE23" s="3635" t="s">
        <v>10</v>
      </c>
      <c r="AF23" s="3635" t="s">
        <v>730</v>
      </c>
      <c r="AG23" s="3657" t="s">
        <v>224</v>
      </c>
      <c r="AH23" s="3658"/>
      <c r="AI23" s="2339"/>
      <c r="AJ23" s="2610"/>
      <c r="AK23" s="2339"/>
      <c r="AL23" s="2783"/>
      <c r="AM23" s="2555"/>
      <c r="AN23" s="1163"/>
      <c r="AO23" s="3639" t="s">
        <v>9</v>
      </c>
      <c r="AP23" s="3635" t="s">
        <v>10</v>
      </c>
      <c r="AQ23" s="3635" t="s">
        <v>730</v>
      </c>
      <c r="AR23" s="3657" t="s">
        <v>224</v>
      </c>
      <c r="AS23" s="3658"/>
      <c r="AT23" s="2339"/>
      <c r="AU23" s="2610"/>
      <c r="AV23" s="2566"/>
      <c r="AW23" s="2555"/>
      <c r="AX23" s="2339"/>
      <c r="AY23" s="2566"/>
      <c r="AZ23" s="2555"/>
      <c r="BA23" s="2339"/>
      <c r="BB23" s="2566"/>
      <c r="BC23" s="2555"/>
      <c r="BD23" s="2339"/>
      <c r="BE23" s="2339"/>
      <c r="BF23" s="1169"/>
      <c r="BG23" s="2556"/>
      <c r="BH23" s="2556"/>
      <c r="BI23" s="1163"/>
      <c r="BJ23" s="2556"/>
      <c r="BK23" s="2556"/>
      <c r="BL23" s="1163"/>
      <c r="BO23" s="1163"/>
      <c r="BR23" s="539"/>
      <c r="BS23" s="2556"/>
      <c r="BT23" s="2556"/>
      <c r="BU23" s="2556"/>
      <c r="BV23" s="2556"/>
      <c r="BW23" s="2420"/>
    </row>
    <row r="24" spans="1:75" ht="23.45" customHeight="1" thickTop="1" thickBot="1">
      <c r="A24" s="2360" t="str">
        <f>'(0) 1a. Activos de Partida'!A20</f>
        <v xml:space="preserve">Gastos de I+D (Propiedad de la Innovación) </v>
      </c>
      <c r="C24" s="2368"/>
      <c r="D24" s="2815"/>
      <c r="E24" s="2813">
        <v>0.21</v>
      </c>
      <c r="F24" s="2409"/>
      <c r="G24" s="2414">
        <f>C24+D24</f>
        <v>0</v>
      </c>
      <c r="H24" s="2339"/>
      <c r="I24" s="2374">
        <v>4</v>
      </c>
      <c r="J24" s="2477"/>
      <c r="K24" s="2534"/>
      <c r="L24" s="2477"/>
      <c r="M24" s="2497" t="s">
        <v>451</v>
      </c>
      <c r="N24"/>
      <c r="O24" s="2503"/>
      <c r="P24" s="2491"/>
      <c r="Q24" s="3628" t="s">
        <v>755</v>
      </c>
      <c r="R24" s="3629"/>
      <c r="S24" s="3629"/>
      <c r="T24" s="3629"/>
      <c r="U24" s="3630"/>
      <c r="V24" s="2332"/>
      <c r="W24" s="2536"/>
      <c r="X24" s="2332"/>
      <c r="Y24" s="2359" t="str">
        <f>A25</f>
        <v>Programas Informáticos y Páginas Web</v>
      </c>
      <c r="Z24" s="2332"/>
      <c r="AA24" s="2771"/>
      <c r="AB24" s="2555"/>
      <c r="AC24" s="2332"/>
      <c r="AD24" s="3640"/>
      <c r="AE24" s="3636"/>
      <c r="AF24" s="3636"/>
      <c r="AG24" s="3659"/>
      <c r="AH24" s="3660"/>
      <c r="AI24" s="2332"/>
      <c r="AJ24" s="2536"/>
      <c r="AK24" s="2332"/>
      <c r="AL24" s="2767"/>
      <c r="AM24" s="2555"/>
      <c r="AN24" s="1163"/>
      <c r="AO24" s="3640"/>
      <c r="AP24" s="3636"/>
      <c r="AQ24" s="3636"/>
      <c r="AR24" s="3659"/>
      <c r="AS24" s="3660"/>
      <c r="AT24" s="2332"/>
      <c r="AU24" s="2536"/>
      <c r="AV24" s="2554"/>
      <c r="AW24" s="2555"/>
      <c r="AX24" s="2332"/>
      <c r="AY24" s="2554"/>
      <c r="AZ24" s="2555"/>
      <c r="BA24" s="2332"/>
      <c r="BB24" s="2589"/>
      <c r="BC24" s="2555"/>
      <c r="BD24" s="2332"/>
      <c r="BE24" s="2332"/>
      <c r="BF24" s="1169"/>
      <c r="BG24" s="2556"/>
      <c r="BH24" s="2556"/>
      <c r="BI24" s="1163"/>
      <c r="BJ24" s="2556"/>
      <c r="BK24" s="2556"/>
      <c r="BL24" s="1163"/>
      <c r="BO24" s="1163"/>
      <c r="BR24" s="1163"/>
      <c r="BS24" s="2556"/>
      <c r="BT24" s="2556"/>
      <c r="BU24" s="2556"/>
      <c r="BV24" s="2556"/>
      <c r="BW24" s="2420"/>
    </row>
    <row r="25" spans="1:75" ht="23.45" customHeight="1" thickBot="1">
      <c r="A25" s="2359" t="str">
        <f>'(0) 1a. Activos de Partida'!A21</f>
        <v>Programas Informáticos y Páginas Web</v>
      </c>
      <c r="C25" s="2369"/>
      <c r="D25" s="2811"/>
      <c r="E25" s="2807">
        <v>0.21</v>
      </c>
      <c r="F25" s="2408"/>
      <c r="G25" s="2410">
        <f>C25+D25</f>
        <v>0</v>
      </c>
      <c r="H25" s="2332"/>
      <c r="I25" s="2365">
        <v>4</v>
      </c>
      <c r="J25" s="2478"/>
      <c r="K25" s="2535"/>
      <c r="L25" s="2478"/>
      <c r="M25" s="2419" t="s">
        <v>724</v>
      </c>
      <c r="N25"/>
      <c r="O25" s="2501">
        <f>O23+O24</f>
        <v>0</v>
      </c>
      <c r="Q25" s="3684" t="s">
        <v>9</v>
      </c>
      <c r="R25" s="3686" t="s">
        <v>10</v>
      </c>
      <c r="S25" s="3686" t="s">
        <v>730</v>
      </c>
      <c r="T25" s="3686" t="s">
        <v>728</v>
      </c>
      <c r="U25" s="3688" t="s">
        <v>729</v>
      </c>
      <c r="V25" s="2339"/>
      <c r="W25" s="2610"/>
      <c r="X25" s="2339"/>
      <c r="Y25" s="2359" t="str">
        <f>A26</f>
        <v>Propiedad Industrial e Intelectual</v>
      </c>
      <c r="Z25" s="2339"/>
      <c r="AA25" s="2772"/>
      <c r="AB25" s="2555"/>
      <c r="AC25" s="2339"/>
      <c r="AD25" s="2599">
        <v>0.05</v>
      </c>
      <c r="AE25" s="2600">
        <v>4</v>
      </c>
      <c r="AF25" s="2601">
        <v>12</v>
      </c>
      <c r="AG25" s="3661">
        <v>0</v>
      </c>
      <c r="AH25" s="3662"/>
      <c r="AI25" s="2339"/>
      <c r="AJ25" s="2610"/>
      <c r="AK25" s="2339"/>
      <c r="AL25" s="2784"/>
      <c r="AM25" s="2555"/>
      <c r="AN25" s="1163"/>
      <c r="AO25" s="2599">
        <v>0.05</v>
      </c>
      <c r="AP25" s="2600">
        <v>4</v>
      </c>
      <c r="AQ25" s="2601">
        <v>12</v>
      </c>
      <c r="AR25" s="3661">
        <v>0</v>
      </c>
      <c r="AS25" s="3662"/>
      <c r="AT25" s="2339"/>
      <c r="AU25" s="2610"/>
      <c r="AV25" s="2567"/>
      <c r="AW25" s="2555"/>
      <c r="AX25" s="2339"/>
      <c r="AY25" s="2567"/>
      <c r="AZ25" s="2555"/>
      <c r="BA25" s="2339"/>
      <c r="BB25" s="2591"/>
      <c r="BC25" s="2555"/>
      <c r="BD25" s="2339"/>
      <c r="BE25" s="2339"/>
      <c r="BF25" s="1169"/>
      <c r="BG25" s="2556"/>
      <c r="BH25" s="2556"/>
      <c r="BI25" s="1163"/>
      <c r="BJ25" s="2556"/>
      <c r="BK25" s="2556"/>
      <c r="BL25" s="1163"/>
      <c r="BO25" s="1163"/>
      <c r="BR25" s="1163"/>
      <c r="BS25" s="2556"/>
      <c r="BT25" s="2556"/>
      <c r="BU25" s="2556"/>
      <c r="BV25" s="2556"/>
      <c r="BW25" s="2420"/>
    </row>
    <row r="26" spans="1:75" ht="23.45" customHeight="1" thickTop="1" thickBot="1">
      <c r="A26" s="2359" t="str">
        <f>'(0) 1a. Activos de Partida'!A22</f>
        <v>Propiedad Industrial e Intelectual</v>
      </c>
      <c r="C26" s="2370"/>
      <c r="D26" s="2810"/>
      <c r="E26" s="2806">
        <v>0.21</v>
      </c>
      <c r="F26" s="2409"/>
      <c r="G26" s="2410">
        <f>C26+D26</f>
        <v>0</v>
      </c>
      <c r="H26" s="2339"/>
      <c r="I26" s="2364">
        <v>4</v>
      </c>
      <c r="J26" s="2477"/>
      <c r="K26" s="2534"/>
      <c r="L26" s="2477"/>
      <c r="P26" s="2491"/>
      <c r="Q26" s="3685"/>
      <c r="R26" s="3687"/>
      <c r="S26" s="3687"/>
      <c r="T26" s="3687"/>
      <c r="U26" s="3689"/>
      <c r="V26" s="2332"/>
      <c r="W26" s="2536"/>
      <c r="X26" s="2332"/>
      <c r="Y26" s="2359" t="str">
        <f>A27</f>
        <v xml:space="preserve">Otro Inmovilizado Intangible </v>
      </c>
      <c r="Z26" s="2332"/>
      <c r="AA26" s="2773"/>
      <c r="AB26" s="2555"/>
      <c r="AC26" s="2332"/>
      <c r="AD26" s="3285"/>
      <c r="AE26" s="3286"/>
      <c r="AF26" s="3286"/>
      <c r="AG26" s="3286"/>
      <c r="AH26" s="3287"/>
      <c r="AI26" s="2332"/>
      <c r="AJ26" s="2536"/>
      <c r="AK26" s="2332"/>
      <c r="AL26" s="2785"/>
      <c r="AM26" s="2555"/>
      <c r="AN26" s="1163"/>
      <c r="AO26" s="3285"/>
      <c r="AP26" s="3286"/>
      <c r="AQ26" s="3286"/>
      <c r="AR26" s="3286"/>
      <c r="AS26" s="3287"/>
      <c r="AT26" s="2332"/>
      <c r="AU26" s="2536"/>
      <c r="AV26" s="2568"/>
      <c r="AW26" s="2555"/>
      <c r="AX26" s="2332"/>
      <c r="AY26" s="2568"/>
      <c r="AZ26" s="2555"/>
      <c r="BA26" s="2332"/>
      <c r="BB26" s="2590"/>
      <c r="BC26" s="2555"/>
      <c r="BD26" s="2332"/>
      <c r="BE26" s="2332"/>
      <c r="BF26" s="1169"/>
      <c r="BG26" s="2556"/>
      <c r="BH26" s="2556"/>
      <c r="BI26" s="1163"/>
      <c r="BJ26" s="2556"/>
      <c r="BK26" s="2556"/>
      <c r="BL26" s="1163"/>
      <c r="BO26" s="1163"/>
      <c r="BR26" s="1163"/>
      <c r="BS26" s="2556"/>
      <c r="BT26" s="2556"/>
      <c r="BU26" s="2556"/>
      <c r="BV26" s="2556"/>
      <c r="BW26" s="2420"/>
    </row>
    <row r="27" spans="1:75" ht="23.25" customHeight="1" thickTop="1" thickBot="1">
      <c r="A27" s="2361" t="str">
        <f>'(0) 1a. Activos de Partida'!A23</f>
        <v xml:space="preserve">Otro Inmovilizado Intangible </v>
      </c>
      <c r="C27" s="2371"/>
      <c r="D27" s="2812"/>
      <c r="E27" s="2807">
        <v>0.21</v>
      </c>
      <c r="F27" s="2408"/>
      <c r="G27" s="2411">
        <f>C27+D27</f>
        <v>0</v>
      </c>
      <c r="H27" s="2332"/>
      <c r="I27" s="2433">
        <v>5</v>
      </c>
      <c r="J27" s="1164"/>
      <c r="K27" s="2219"/>
      <c r="L27" s="1164"/>
      <c r="M27" s="2422" t="s">
        <v>716</v>
      </c>
      <c r="N27" s="2385"/>
      <c r="O27" s="2430"/>
      <c r="Q27" s="2522">
        <v>0.05</v>
      </c>
      <c r="R27" s="2523">
        <v>5</v>
      </c>
      <c r="S27" s="2521">
        <v>12</v>
      </c>
      <c r="T27" s="2521">
        <v>0</v>
      </c>
      <c r="U27" s="2524">
        <v>0</v>
      </c>
      <c r="V27" s="1164"/>
      <c r="W27" s="2219"/>
      <c r="X27" s="1164"/>
      <c r="Y27" s="2362" t="s">
        <v>705</v>
      </c>
      <c r="Z27" s="1164"/>
      <c r="AA27" s="2769">
        <f>SUM(AA23:AA26)</f>
        <v>0</v>
      </c>
      <c r="AB27" s="2576"/>
      <c r="AC27" s="1164"/>
      <c r="AD27" s="3281"/>
      <c r="AH27" s="3282"/>
      <c r="AI27" s="1164"/>
      <c r="AJ27" s="2219"/>
      <c r="AK27" s="1164"/>
      <c r="AL27" s="2769">
        <f>SUM(AL23:AL26)</f>
        <v>0</v>
      </c>
      <c r="AM27" s="2577"/>
      <c r="AN27" s="542"/>
      <c r="AO27" s="3281"/>
      <c r="AS27" s="3282"/>
      <c r="AT27" s="1164"/>
      <c r="AU27" s="2219"/>
      <c r="AV27" s="537">
        <f>SUM(AV23:AV26)</f>
        <v>0</v>
      </c>
      <c r="AW27" s="540"/>
      <c r="AX27" s="1164"/>
      <c r="AY27" s="537">
        <f>SUM(AY23:AY26)</f>
        <v>0</v>
      </c>
      <c r="AZ27" s="540"/>
      <c r="BA27" s="1164"/>
      <c r="BB27" s="1166">
        <f>SUM(BB23:BB26)</f>
        <v>0</v>
      </c>
      <c r="BC27" s="540"/>
      <c r="BD27" s="1164"/>
      <c r="BE27" s="1164"/>
      <c r="BF27" s="1164"/>
      <c r="BG27" s="2556"/>
      <c r="BH27" s="2556"/>
      <c r="BI27" s="542"/>
      <c r="BJ27" s="2556"/>
      <c r="BK27" s="2556"/>
      <c r="BL27" s="542"/>
      <c r="BO27" s="542"/>
      <c r="BR27" s="1163"/>
      <c r="BS27" s="2556"/>
      <c r="BT27" s="2556"/>
      <c r="BU27" s="2556"/>
      <c r="BV27" s="2556"/>
      <c r="BW27" s="2420"/>
    </row>
    <row r="28" spans="1:75" ht="24" customHeight="1" thickTop="1" thickBot="1">
      <c r="A28" s="2362" t="s">
        <v>705</v>
      </c>
      <c r="C28" s="2412">
        <f>SUM(C24:C27)</f>
        <v>0</v>
      </c>
      <c r="D28" s="2413">
        <f>SUM(D24:D27)</f>
        <v>0</v>
      </c>
      <c r="E28" s="1520"/>
      <c r="F28" s="1164"/>
      <c r="G28" s="2416">
        <f>SUM(G24:G27)</f>
        <v>0</v>
      </c>
      <c r="H28" s="1164"/>
      <c r="I28" s="1164"/>
      <c r="J28" s="2332"/>
      <c r="K28" s="2536"/>
      <c r="L28" s="2332"/>
      <c r="M28" s="2419" t="s">
        <v>725</v>
      </c>
      <c r="O28" s="2501">
        <f>O27</f>
        <v>0</v>
      </c>
      <c r="Q28" s="3260"/>
      <c r="R28" s="3268"/>
      <c r="S28" s="3269"/>
      <c r="T28" s="3269"/>
      <c r="U28" s="3264"/>
      <c r="V28" s="2332"/>
      <c r="W28" s="2536"/>
      <c r="X28" s="2332"/>
      <c r="Y28" s="2421"/>
      <c r="Z28" s="2332"/>
      <c r="AA28" s="2332"/>
      <c r="AB28" s="2332"/>
      <c r="AC28" s="2332"/>
      <c r="AD28" s="3281"/>
      <c r="AH28" s="3282"/>
      <c r="AI28" s="2332"/>
      <c r="AJ28" s="2536"/>
      <c r="AK28" s="2332"/>
      <c r="AL28" s="2332"/>
      <c r="AM28" s="2332"/>
      <c r="AN28" s="2332"/>
      <c r="AO28" s="3281"/>
      <c r="AS28" s="3282"/>
      <c r="AT28" s="2332"/>
      <c r="AU28" s="2536"/>
      <c r="AV28" s="2332"/>
      <c r="AW28" s="2332"/>
      <c r="AX28" s="2332"/>
      <c r="AY28" s="2332"/>
      <c r="AZ28" s="2332"/>
      <c r="BA28" s="2332"/>
      <c r="BB28" s="2332"/>
      <c r="BC28" s="2332"/>
      <c r="BD28" s="2332"/>
      <c r="BE28" s="2332"/>
      <c r="BF28" s="1164"/>
      <c r="BG28" s="1164"/>
      <c r="BH28" s="542"/>
      <c r="BI28" s="542"/>
      <c r="BJ28" s="1164"/>
      <c r="BK28" s="542"/>
      <c r="BL28" s="542"/>
      <c r="BM28" s="1164"/>
      <c r="BN28" s="542"/>
      <c r="BO28" s="542"/>
      <c r="BP28" s="1164"/>
      <c r="BQ28" s="542"/>
      <c r="BR28" s="542"/>
      <c r="BS28" s="1164"/>
      <c r="BT28" s="542"/>
      <c r="BU28" s="2556"/>
      <c r="BV28" s="2556"/>
      <c r="BW28" s="2420"/>
    </row>
    <row r="29" spans="1:75" ht="24" customHeight="1" thickTop="1" thickBot="1">
      <c r="H29" s="1164"/>
      <c r="I29" s="1164"/>
      <c r="J29" s="1164"/>
      <c r="K29" s="2219"/>
      <c r="L29" s="1164"/>
      <c r="P29" s="2493"/>
      <c r="Q29" s="3261"/>
      <c r="R29" s="3270"/>
      <c r="S29" s="3270"/>
      <c r="T29" s="3270"/>
      <c r="U29" s="3265"/>
      <c r="V29" s="1164"/>
      <c r="W29" s="2219"/>
      <c r="X29" s="1164"/>
      <c r="Y29" s="2551"/>
      <c r="Z29" s="1164"/>
      <c r="AA29" s="1164"/>
      <c r="AB29" s="1164"/>
      <c r="AC29" s="1164"/>
      <c r="AD29" s="3288"/>
      <c r="AE29" s="1164"/>
      <c r="AF29" s="1164"/>
      <c r="AG29" s="1164"/>
      <c r="AH29" s="3289"/>
      <c r="AI29" s="1164"/>
      <c r="AJ29" s="2219"/>
      <c r="AK29" s="1164"/>
      <c r="AL29" s="1164"/>
      <c r="AM29" s="1164"/>
      <c r="AN29" s="1164"/>
      <c r="AO29" s="3288"/>
      <c r="AP29" s="1164"/>
      <c r="AQ29" s="1164"/>
      <c r="AR29" s="1164"/>
      <c r="AS29" s="3289"/>
      <c r="AT29" s="1164"/>
      <c r="AU29" s="2219"/>
      <c r="AV29" s="1164"/>
      <c r="AW29" s="1164"/>
      <c r="AX29" s="1164"/>
      <c r="AY29" s="1164"/>
      <c r="AZ29" s="1164"/>
      <c r="BA29" s="1164"/>
      <c r="BB29" s="1164"/>
      <c r="BC29" s="1164"/>
      <c r="BD29" s="1164"/>
      <c r="BE29" s="1164"/>
      <c r="BF29" s="1164"/>
      <c r="BG29" s="1164"/>
      <c r="BH29" s="542"/>
      <c r="BI29" s="542"/>
      <c r="BJ29" s="1164"/>
      <c r="BK29" s="542"/>
      <c r="BL29" s="542"/>
      <c r="BM29" s="1164"/>
      <c r="BN29" s="542"/>
      <c r="BO29" s="542"/>
      <c r="BP29" s="1164"/>
      <c r="BQ29" s="542"/>
      <c r="BR29" s="542"/>
      <c r="BS29" s="1164"/>
      <c r="BT29" s="542"/>
      <c r="BU29" s="2556"/>
      <c r="BV29" s="2556"/>
      <c r="BW29" s="2420"/>
    </row>
    <row r="30" spans="1:75" ht="24.75" customHeight="1" thickTop="1" thickBot="1">
      <c r="A30" s="2363" t="str">
        <f>'(0) 1a. Activos de Partida'!A29</f>
        <v>Fianzas y Depósitos y Garantías</v>
      </c>
      <c r="C30" s="2372"/>
      <c r="D30" s="2373"/>
      <c r="E30" s="2332"/>
      <c r="F30" s="2332"/>
      <c r="G30" s="2415">
        <f>C30+D30</f>
        <v>0</v>
      </c>
      <c r="H30" s="1164"/>
      <c r="I30" s="1164"/>
      <c r="J30" s="1164"/>
      <c r="K30" s="2219"/>
      <c r="L30" s="1164"/>
      <c r="M30" s="2422" t="s">
        <v>799</v>
      </c>
      <c r="N30" s="2385"/>
      <c r="O30" s="2430"/>
      <c r="P30" s="1164"/>
      <c r="Q30" s="3262"/>
      <c r="R30" s="3270"/>
      <c r="S30" s="3270"/>
      <c r="T30" s="3270"/>
      <c r="U30" s="3265"/>
      <c r="V30" s="1164"/>
      <c r="W30" s="2219"/>
      <c r="X30" s="1164"/>
      <c r="Y30" s="2585" t="s">
        <v>745</v>
      </c>
      <c r="Z30" s="1164"/>
      <c r="AA30" s="3647" t="str">
        <f>IF(((IF($AB$13="T",$AA$13)+IF($AB$14="T",$AA$14)+IF($AB$15="T",$AA$15)+IF($AB$16="T",$AA$16)+IF($AB$17="T",$AA$17)+IF($AB$18="T",$AA$18)+IF($AB$19="T",$AA$19)+IF($AB$20="T",$AA$20)+IF($AB$21="T",$AA$21))+(IF($AB$23="T",$AA$23)+IF($AB$24="T",$AA$24)+IF($AB$25="T",$AA$25)+IF($AB$26="T",$AA$26))-($AA$40+$AA$42+$AA$51))&gt;0,((IF($AB$13="T",$AA$13)+IF($AB$14="T",$AA$14)+IF($AB$15="T",$AA$15)+IF($AB$16="T",$AA$16)+IF($AB$17="T",$AA$17)+IF($AB$18="T",$AA$18)+IF($AB$19="T",$AA$19)+IF($AB$20="T",$AA$20)+IF($AB$21="T",$AA$21))+(IF($AB$23="T",$AA$23)+IF($AB$24="T",$AA$24)+IF($AB$25="T",$AA$25)+IF($AB$26="T",$AA$26))-($AA$40+$AA$42+$AA$51)),"")</f>
        <v/>
      </c>
      <c r="AB30" s="3648"/>
      <c r="AC30" s="1164"/>
      <c r="AD30" s="3288"/>
      <c r="AE30" s="1164"/>
      <c r="AF30" s="1164"/>
      <c r="AG30" s="1164"/>
      <c r="AH30" s="3289"/>
      <c r="AI30" s="1164"/>
      <c r="AJ30" s="2219"/>
      <c r="AK30" s="1164"/>
      <c r="AL30" s="3651" t="str">
        <f>IF(((IF(AM13="T",AL13)+IF(AM14="T",AL14)+IF(AM15="T",AL15)+IF(AM16="T",AL16)+IF(AM17="T",AL17)+IF(AM18="T",AL18)+IF(AM19="T",AL19)+IF(AM20="T",AL20)+IF(AM21="T",AL21))+(IF(AM23="T",AL23)+IF(AM24="T",AL24)+IF(AM25="T",AL25)+IF(AM26="T",AL26))-(AL40+AL42+AL51))&gt;0,((IF(AM13="T",AL13)+IF(AM14="T",AL14)+IF(AM15="T",AL15)+IF(AM16="T",AL16)+IF(AM17="T",AL17)+IF(AM18="T",AL18)+IF(AM19="T",AL19)+IF(AM20="T",AL20)+IF(AM21="T",AL21))+(IF(AM23="T",AL23)+IF(AM24="T",AL24)+IF(AM25="T",AL25)+IF(AM26="T",AL26))-(AL40+AL42+AL51)),"")</f>
        <v/>
      </c>
      <c r="AM30" s="3652"/>
      <c r="AN30" s="2597"/>
      <c r="AO30" s="3288"/>
      <c r="AP30" s="1164"/>
      <c r="AQ30" s="1164"/>
      <c r="AR30" s="1164"/>
      <c r="AS30" s="3289"/>
      <c r="AT30" s="1164"/>
      <c r="AU30" s="2219"/>
      <c r="AV30" s="3641">
        <f>(IF(AW13="T",AV13)+IF(AW14="T",AV14)+IF(AW15="T",AV15)+IF(AW16="T",AV16)+IF(AW17="T",AV17)+IF(AW18="T",AV18)+IF(AW19="T",AV19)+IF(AW20="T",AV20)+IF(AW21="T",AV21))+(IF(AW23="T",AV23)+IF(AW24="T",AV24)+IF(AW25="T",AV25)+IF(AW26="T",AV26))-(AV38+AV40+AV51)</f>
        <v>0</v>
      </c>
      <c r="AW30" s="3642"/>
      <c r="AX30" s="1164"/>
      <c r="AY30" s="3641">
        <f>(IF(AZ13="T",AY13)+IF(AZ14="T",AY14)+IF(AZ15="T",AY15)+IF(AZ16="T",AY16)+IF(AZ17="T",AY17)+IF(AZ18="T",AY18)+IF(AZ19="T",AY19)+IF(AZ20="T",AY20)+IF(AZ21="T",AY21))+(IF(AZ23="T",AY23)+IF(AZ24="T",AY24)+IF(AZ25="T",AY25)+IF(AZ26="T",AY26))-(AY38+AY40+AY51)</f>
        <v>0</v>
      </c>
      <c r="AZ30" s="3642"/>
      <c r="BA30" s="1164"/>
      <c r="BB30" s="3641">
        <f>(IF(BC13="T",BB13)+IF(BC14="T",BB14)+IF(BC15="T",BB15)+IF(BC16="T",BB16)+IF(BC17="T",BB17)+IF(BC18="T",BB18)+IF(BC19="T",BB19)+IF(BC20="T",BB20)+IF(BC21="T",BB21))+(IF(BC23="T",BB23)+IF(BC24="T",BB24)+IF(BC25="T",BB25)+IF(BC26="T",BB26))-(BB38+BB40+BB51)</f>
        <v>0</v>
      </c>
      <c r="BC30" s="3642"/>
      <c r="BD30" s="1164"/>
      <c r="BE30" s="1164"/>
      <c r="BF30" s="1164"/>
      <c r="BG30" s="1164"/>
      <c r="BH30" s="542"/>
      <c r="BI30" s="542"/>
      <c r="BJ30" s="1164"/>
      <c r="BK30" s="542"/>
      <c r="BL30" s="542"/>
      <c r="BM30" s="1164"/>
      <c r="BN30" s="542"/>
      <c r="BO30" s="542"/>
      <c r="BP30" s="1164"/>
      <c r="BQ30" s="542"/>
      <c r="BR30" s="542"/>
      <c r="BS30" s="1164"/>
      <c r="BT30" s="542"/>
      <c r="BU30" s="2556"/>
      <c r="BV30" s="2556"/>
      <c r="BW30" s="2420"/>
    </row>
    <row r="31" spans="1:75" ht="25.5" customHeight="1" thickTop="1" thickBot="1">
      <c r="A31" s="2351" t="s">
        <v>719</v>
      </c>
      <c r="C31" s="2412">
        <f>SUM(C30)</f>
        <v>0</v>
      </c>
      <c r="D31" s="2431">
        <f>SUM(D30)</f>
        <v>0</v>
      </c>
      <c r="E31" s="1164"/>
      <c r="F31" s="1164"/>
      <c r="G31" s="2416">
        <f>G30</f>
        <v>0</v>
      </c>
      <c r="H31" s="2333"/>
      <c r="I31" s="2333"/>
      <c r="J31" s="2333"/>
      <c r="K31" s="2537"/>
      <c r="L31" s="2333"/>
      <c r="M31" s="2419" t="s">
        <v>798</v>
      </c>
      <c r="O31" s="2501">
        <f>O30</f>
        <v>0</v>
      </c>
      <c r="Q31" s="3240"/>
      <c r="R31" s="3271"/>
      <c r="S31" s="3271"/>
      <c r="T31" s="3271"/>
      <c r="U31" s="3266"/>
      <c r="V31" s="2333"/>
      <c r="W31" s="2537"/>
      <c r="X31" s="2333"/>
      <c r="Y31" s="2586" t="s">
        <v>746</v>
      </c>
      <c r="Z31" s="2333"/>
      <c r="AA31" s="3649" t="str">
        <f>IF(((IF($AB$13="T",$AA$13)+IF($AB$14="T",$AA$14)+IF($AB$15="T",$AA$15)+IF($AB$16="T",$AA$16)+IF($AB$17="T",$AA$17)+IF($AB$18="T",$AA$18)+IF($AB$19="T",$AA$19)+IF($AB$20="T",$AA$20)+IF($AB$21="T",$AA$21))+(IF($AB$23="T",$AA$23)+IF($AB$24="T",$AA$24)+IF($AB$25="T",$AA$25)+IF($AB$26="T",$AA$26))-($AA$40+$AA$42+$AA$51))&lt;0,-(((IF($AB$13="T",$AA$13)+IF($AB$14="T",$AA$14)+IF($AB$15="T",$AA$15)+IF($AB$16="T",$AA$16)+IF($AB$17="T",$AA$17)+IF($AB$18="T",$AA$18)+IF($AB$19="T",$AA$19)+IF($AB$20="T",$AA$20)+IF($AB$21="T",$AA$21))+(IF($AB$23="T",$AA$23)+IF($AB$24="T",$AA$24)+IF($AB$25="T",$AA$25)+IF($AB$26="T",$AA$26))-($AA$40+$AA$42+$AA$51))),"")</f>
        <v/>
      </c>
      <c r="AB31" s="3644"/>
      <c r="AC31" s="2333"/>
      <c r="AD31" s="3290"/>
      <c r="AE31" s="2333"/>
      <c r="AF31" s="2333"/>
      <c r="AG31" s="2333"/>
      <c r="AH31" s="3291"/>
      <c r="AI31" s="2333"/>
      <c r="AJ31" s="2537"/>
      <c r="AK31" s="2333"/>
      <c r="AL31" s="3643" t="str">
        <f>IF(((IF($AM$13="T",$AL$13)+IF($AM$14="T",$AL$14)+IF($AM$15="T",$AL$15)+IF($AM$16="T",$AL$16)+IF($AM$17="T",$AL$17)+IF($AM$18="T",$AL$18)+IF($AM$19="T",$AL$19)+IF($AM$20="T",$AL$20)+IF($AM$21="T",$AL$21))+(IF($AM$23="T",$AL$23)+IF($AM$24="T",$AL$24)+IF($AM$25="T",$AL$25)+IF($AM$26="T",$AL$26))-($AL$40+$AL$42+$AL$51))&lt;0,-(((IF($AM$13="T",$AL$13)+IF($AM$14="T",$AL$14)+IF($AM$15="T",$AL$15)+IF($AM$16="T",$AL$16)+IF($AM$17="T",$AL$17)+IF($AM$18="T",$AL$18)+IF($AM$19="T",$AL$19)+IF($AM$20="T",$AL$20)+IF($AM$21="T",$AL$21))+(IF($AM$23="T",$AL$23)+IF($AM$24="T",$AL$24)+IF($AM$25="T",$AL$25)+IF($AM$26="T",$AL$26))-($AL$40+$AL$42+$AL$51))),"")</f>
        <v/>
      </c>
      <c r="AM31" s="3644"/>
      <c r="AN31" s="2598"/>
      <c r="AO31" s="3290"/>
      <c r="AP31" s="2333"/>
      <c r="AQ31" s="2333"/>
      <c r="AR31" s="2333"/>
      <c r="AS31" s="3291"/>
      <c r="AT31" s="2333"/>
      <c r="AU31" s="2537"/>
      <c r="AV31" s="2333"/>
      <c r="AW31" s="2333"/>
      <c r="AX31" s="2333"/>
      <c r="AY31" s="2333"/>
      <c r="AZ31" s="2333"/>
      <c r="BA31" s="2333"/>
      <c r="BB31" s="2333"/>
      <c r="BC31" s="2333"/>
      <c r="BD31" s="2333"/>
      <c r="BE31" s="2333"/>
      <c r="BF31" s="1164"/>
      <c r="BG31" s="1164"/>
      <c r="BH31" s="542"/>
      <c r="BI31" s="542"/>
      <c r="BJ31" s="1164"/>
      <c r="BK31" s="542"/>
      <c r="BL31" s="542"/>
      <c r="BM31" s="1164"/>
      <c r="BN31" s="542"/>
      <c r="BO31" s="542"/>
      <c r="BP31" s="1164"/>
      <c r="BQ31" s="542"/>
      <c r="BR31" s="542"/>
      <c r="BS31" s="1164"/>
      <c r="BT31" s="542"/>
      <c r="BU31" s="2556"/>
      <c r="BV31" s="2556"/>
      <c r="BW31" s="2420"/>
    </row>
    <row r="32" spans="1:75" ht="24" customHeight="1" thickTop="1" thickBot="1">
      <c r="H32" s="2335"/>
      <c r="I32" s="2335"/>
      <c r="J32" s="2335"/>
      <c r="K32" s="2538"/>
      <c r="L32" s="2335"/>
      <c r="P32" s="2406"/>
      <c r="Q32" s="3263"/>
      <c r="R32" s="3271"/>
      <c r="S32" s="3271"/>
      <c r="T32" s="3272"/>
      <c r="U32" s="3267"/>
      <c r="V32" s="2335"/>
      <c r="W32" s="2538"/>
      <c r="X32" s="2335"/>
      <c r="Y32" s="2341"/>
      <c r="Z32" s="2335"/>
      <c r="AA32" s="2335"/>
      <c r="AB32" s="2335"/>
      <c r="AC32" s="2335"/>
      <c r="AD32" s="3292"/>
      <c r="AE32" s="2335"/>
      <c r="AF32" s="2335"/>
      <c r="AG32" s="2335"/>
      <c r="AH32" s="3293"/>
      <c r="AI32" s="2335"/>
      <c r="AJ32" s="2538"/>
      <c r="AK32" s="2335"/>
      <c r="AL32" s="2335"/>
      <c r="AM32" s="2335"/>
      <c r="AN32" s="2335"/>
      <c r="AO32" s="3292"/>
      <c r="AP32" s="2335"/>
      <c r="AQ32" s="2335"/>
      <c r="AR32" s="2335"/>
      <c r="AS32" s="3293"/>
      <c r="AT32" s="2335"/>
      <c r="AU32" s="2538"/>
      <c r="AV32" s="2335"/>
      <c r="AW32" s="2335"/>
      <c r="AX32" s="2335"/>
      <c r="AY32" s="2335"/>
      <c r="AZ32" s="2335"/>
      <c r="BA32" s="2335"/>
      <c r="BB32" s="2335"/>
      <c r="BC32" s="2335"/>
      <c r="BD32" s="2335"/>
      <c r="BE32" s="2335"/>
      <c r="BF32" s="1164"/>
      <c r="BG32" s="1164"/>
      <c r="BH32" s="542"/>
      <c r="BI32" s="542"/>
      <c r="BJ32" s="1164"/>
      <c r="BK32" s="542"/>
      <c r="BL32" s="542"/>
      <c r="BM32" s="1164"/>
      <c r="BN32" s="542"/>
      <c r="BO32" s="542"/>
      <c r="BP32" s="1164"/>
      <c r="BQ32" s="542"/>
      <c r="BR32" s="542"/>
      <c r="BS32" s="1164"/>
      <c r="BT32" s="542"/>
      <c r="BU32" s="2556"/>
      <c r="BV32" s="2556"/>
      <c r="BW32" s="2420"/>
    </row>
    <row r="33" spans="1:75" ht="22.5" customHeight="1" thickTop="1" thickBot="1">
      <c r="A33" s="2363" t="s">
        <v>702</v>
      </c>
      <c r="C33" s="2430"/>
      <c r="D33" s="2816"/>
      <c r="E33" s="2814">
        <v>0.21</v>
      </c>
      <c r="F33" s="1164"/>
      <c r="G33" s="2415">
        <f>C33+D33</f>
        <v>0</v>
      </c>
      <c r="H33" s="2335"/>
      <c r="I33" s="2335"/>
      <c r="J33" s="2335"/>
      <c r="K33" s="2538"/>
      <c r="L33" s="2335"/>
      <c r="P33" s="2406"/>
      <c r="Q33" s="3263"/>
      <c r="R33" s="3271"/>
      <c r="S33" s="3271"/>
      <c r="T33" s="3272"/>
      <c r="U33" s="3267"/>
      <c r="V33" s="2335"/>
      <c r="W33" s="2538"/>
      <c r="X33" s="2335"/>
      <c r="AD33" s="3281"/>
      <c r="AH33" s="3282"/>
      <c r="AI33" s="2335"/>
      <c r="AJ33" s="2538"/>
      <c r="AK33" s="2335"/>
      <c r="AL33" s="2335"/>
      <c r="AM33" s="2335"/>
      <c r="AN33" s="2335"/>
      <c r="AO33" s="3281"/>
      <c r="AS33" s="3282"/>
      <c r="AT33" s="2335"/>
      <c r="AU33" s="2538"/>
      <c r="AV33" s="2335"/>
      <c r="AW33" s="2335"/>
      <c r="AX33" s="2335"/>
      <c r="AY33" s="2335"/>
      <c r="AZ33" s="2335"/>
      <c r="BA33" s="2335"/>
      <c r="BB33" s="2335"/>
      <c r="BC33" s="2335"/>
      <c r="BD33" s="2335"/>
      <c r="BE33" s="2335"/>
      <c r="BF33" s="1164"/>
      <c r="BG33" s="1164"/>
      <c r="BH33" s="542"/>
      <c r="BI33" s="542"/>
      <c r="BJ33" s="1164"/>
      <c r="BK33" s="542"/>
      <c r="BL33" s="542"/>
      <c r="BM33" s="1164"/>
      <c r="BN33" s="542"/>
      <c r="BO33" s="542"/>
      <c r="BP33" s="1164"/>
      <c r="BQ33" s="542"/>
      <c r="BR33" s="542"/>
      <c r="BS33" s="1164"/>
      <c r="BT33" s="542"/>
      <c r="BU33" s="2556"/>
      <c r="BV33" s="2556"/>
      <c r="BW33" s="2420"/>
    </row>
    <row r="34" spans="1:75" ht="24" customHeight="1" thickBot="1">
      <c r="A34" s="2351" t="s">
        <v>720</v>
      </c>
      <c r="C34" s="2412">
        <f>SUM(C33)</f>
        <v>0</v>
      </c>
      <c r="D34" s="2431">
        <f>SUM(D33)</f>
        <v>0</v>
      </c>
      <c r="E34" s="2333"/>
      <c r="F34" s="2333"/>
      <c r="G34" s="2416">
        <f>G33</f>
        <v>0</v>
      </c>
      <c r="H34" s="2332"/>
      <c r="I34" s="2332"/>
      <c r="J34" s="2332"/>
      <c r="K34" s="2536"/>
      <c r="L34" s="2332"/>
      <c r="P34" s="2405"/>
      <c r="Q34" s="3244"/>
      <c r="R34" s="3273"/>
      <c r="S34" s="3274"/>
      <c r="T34" s="3274"/>
      <c r="U34" s="3247"/>
      <c r="V34" s="2332"/>
      <c r="W34" s="2536"/>
      <c r="X34" s="2332"/>
      <c r="AD34" s="3281"/>
      <c r="AH34" s="3282"/>
      <c r="AI34" s="2332"/>
      <c r="AJ34" s="2536"/>
      <c r="AK34" s="2332"/>
      <c r="AL34" s="2332"/>
      <c r="AM34" s="2332"/>
      <c r="AN34" s="2332"/>
      <c r="AO34" s="3281"/>
      <c r="AS34" s="3282"/>
      <c r="AT34" s="2332"/>
      <c r="AU34" s="2536"/>
      <c r="AV34" s="2332"/>
      <c r="AW34" s="2332"/>
      <c r="AX34" s="2332"/>
      <c r="AY34" s="2332"/>
      <c r="AZ34" s="2332"/>
      <c r="BA34" s="2332"/>
      <c r="BB34" s="2332"/>
      <c r="BC34" s="2332"/>
      <c r="BD34" s="2332"/>
      <c r="BE34" s="2332"/>
      <c r="BF34" s="1163"/>
      <c r="BG34" s="2420"/>
      <c r="BH34" s="2420"/>
      <c r="BI34" s="542"/>
      <c r="BJ34" s="2420"/>
      <c r="BK34" s="2420"/>
      <c r="BL34" s="542"/>
      <c r="BM34" s="2420"/>
      <c r="BN34" s="2420"/>
      <c r="BO34" s="542"/>
      <c r="BP34" s="2420"/>
      <c r="BQ34" s="2420"/>
      <c r="BR34" s="542"/>
      <c r="BS34" s="2420"/>
      <c r="BT34" s="2420"/>
      <c r="BU34" s="2556"/>
      <c r="BV34" s="2556"/>
      <c r="BW34" s="2420"/>
    </row>
    <row r="35" spans="1:75" ht="23.25" customHeight="1" thickTop="1" thickBot="1">
      <c r="H35" s="2332"/>
      <c r="I35" s="2332"/>
      <c r="J35" s="2332"/>
      <c r="K35" s="2536"/>
      <c r="L35" s="2332"/>
      <c r="Q35" s="3628" t="s">
        <v>862</v>
      </c>
      <c r="R35" s="3629"/>
      <c r="S35" s="3629"/>
      <c r="T35" s="3629"/>
      <c r="U35" s="3630"/>
      <c r="V35" s="2332"/>
      <c r="W35" s="2536"/>
      <c r="X35" s="2332"/>
      <c r="Y35" s="3681" t="s">
        <v>752</v>
      </c>
      <c r="Z35" s="3682"/>
      <c r="AA35" s="3682"/>
      <c r="AB35" s="3683"/>
      <c r="AC35" s="1206"/>
      <c r="AD35" s="3294"/>
      <c r="AE35" s="1206"/>
      <c r="AF35" s="1206"/>
      <c r="AG35" s="1206"/>
      <c r="AH35" s="3295"/>
      <c r="AI35" s="2332"/>
      <c r="AJ35" s="2536"/>
      <c r="AK35" s="2332"/>
      <c r="AL35" s="3515" t="s">
        <v>752</v>
      </c>
      <c r="AM35" s="3602"/>
      <c r="AN35" s="2342"/>
      <c r="AO35" s="3307"/>
      <c r="AP35" s="1206"/>
      <c r="AQ35" s="1206"/>
      <c r="AR35" s="1206"/>
      <c r="AS35" s="3295"/>
      <c r="AT35" s="1206"/>
      <c r="AU35" s="2648"/>
      <c r="AV35" s="2646" t="s">
        <v>125</v>
      </c>
      <c r="AW35" s="2573" t="s">
        <v>744</v>
      </c>
      <c r="AX35" s="2332"/>
      <c r="AY35" s="2572" t="s">
        <v>125</v>
      </c>
      <c r="AZ35" s="2573" t="s">
        <v>744</v>
      </c>
      <c r="BA35" s="2332"/>
      <c r="BB35" s="2572" t="s">
        <v>125</v>
      </c>
      <c r="BC35" s="2573" t="s">
        <v>744</v>
      </c>
      <c r="BD35" s="2332"/>
      <c r="BE35" s="2332"/>
      <c r="BF35" s="1163"/>
      <c r="BG35" s="2420"/>
      <c r="BH35" s="2420"/>
      <c r="BI35" s="542"/>
      <c r="BJ35" s="2420"/>
      <c r="BK35" s="2420"/>
      <c r="BL35" s="542"/>
      <c r="BM35" s="2420"/>
      <c r="BN35" s="2420"/>
      <c r="BO35" s="542"/>
      <c r="BP35" s="2420"/>
      <c r="BQ35" s="2420"/>
      <c r="BR35" s="542"/>
      <c r="BS35" s="2420"/>
      <c r="BT35" s="2420"/>
      <c r="BU35" s="2556"/>
      <c r="BV35" s="2556"/>
      <c r="BW35" s="2420"/>
    </row>
    <row r="36" spans="1:75" ht="24.75" customHeight="1" thickTop="1" thickBot="1">
      <c r="A36" s="2467" t="s">
        <v>731</v>
      </c>
      <c r="B36" s="2468"/>
      <c r="C36" s="2489">
        <f>C39</f>
        <v>0</v>
      </c>
      <c r="D36" s="2489">
        <f>D39</f>
        <v>0</v>
      </c>
      <c r="E36" s="2469"/>
      <c r="F36" s="2469"/>
      <c r="G36" s="2472">
        <f>(G39+G41-G43+G44)</f>
        <v>0</v>
      </c>
      <c r="H36" s="1164"/>
      <c r="I36" s="3216"/>
      <c r="J36" s="1164"/>
      <c r="K36" s="2536"/>
      <c r="L36" s="1164"/>
      <c r="M36" s="2470" t="s">
        <v>718</v>
      </c>
      <c r="N36" s="2498"/>
      <c r="O36" s="2472">
        <f>O40-O43*0</f>
        <v>0</v>
      </c>
      <c r="Q36" s="3639" t="s">
        <v>9</v>
      </c>
      <c r="R36" s="3635" t="s">
        <v>10</v>
      </c>
      <c r="S36" s="3635" t="s">
        <v>730</v>
      </c>
      <c r="T36" s="3635" t="s">
        <v>728</v>
      </c>
      <c r="U36" s="3637" t="s">
        <v>729</v>
      </c>
      <c r="V36" s="1164"/>
      <c r="W36" s="2219"/>
      <c r="X36" s="1164"/>
      <c r="Y36" s="2421"/>
      <c r="Z36" s="2332"/>
      <c r="AA36" s="2332"/>
      <c r="AB36" s="2332"/>
      <c r="AC36" s="2332"/>
      <c r="AD36" s="3296"/>
      <c r="AE36" s="2332"/>
      <c r="AF36" s="2332"/>
      <c r="AG36" s="2332"/>
      <c r="AH36" s="3297"/>
      <c r="AI36" s="1164"/>
      <c r="AJ36" s="2219"/>
      <c r="AK36" s="1164"/>
      <c r="AO36" s="3296"/>
      <c r="AP36" s="2332"/>
      <c r="AQ36" s="2332"/>
      <c r="AR36" s="2332"/>
      <c r="AS36" s="3297"/>
      <c r="AT36" s="1164"/>
      <c r="AU36" s="2219"/>
      <c r="AV36" s="2581"/>
      <c r="AW36" s="1172" t="s">
        <v>472</v>
      </c>
      <c r="AX36" s="1164"/>
      <c r="AY36" s="2581"/>
      <c r="AZ36" s="1172" t="s">
        <v>472</v>
      </c>
      <c r="BA36" s="1164"/>
      <c r="BB36" s="2581"/>
      <c r="BC36" s="1172" t="s">
        <v>472</v>
      </c>
      <c r="BD36" s="1164"/>
      <c r="BE36" s="1164"/>
      <c r="BF36" s="542"/>
      <c r="BG36" s="2420"/>
      <c r="BH36" s="2420"/>
      <c r="BI36" s="542"/>
      <c r="BJ36" s="2420"/>
      <c r="BK36" s="2420"/>
      <c r="BL36" s="542"/>
      <c r="BM36" s="2420"/>
      <c r="BN36" s="2420"/>
      <c r="BO36" s="542"/>
      <c r="BP36" s="2420"/>
      <c r="BQ36" s="2420"/>
      <c r="BR36" s="542"/>
      <c r="BS36" s="2420"/>
      <c r="BT36" s="2420"/>
      <c r="BU36" s="2556"/>
      <c r="BV36" s="2556"/>
      <c r="BW36" s="2420"/>
    </row>
    <row r="37" spans="1:75" ht="23.25" customHeight="1" thickTop="1" thickBot="1">
      <c r="H37" s="1164"/>
      <c r="I37" s="1164"/>
      <c r="J37" s="1164"/>
      <c r="K37" s="2536"/>
      <c r="L37" s="1164"/>
      <c r="Q37" s="3640"/>
      <c r="R37" s="3636"/>
      <c r="S37" s="3636"/>
      <c r="T37" s="3636"/>
      <c r="U37" s="3638"/>
      <c r="V37" s="1164"/>
      <c r="W37" s="2219"/>
      <c r="X37" s="1164"/>
      <c r="Y37" s="2434"/>
      <c r="Z37" s="2332"/>
      <c r="AA37" s="2572" t="s">
        <v>125</v>
      </c>
      <c r="AB37" s="2573" t="s">
        <v>744</v>
      </c>
      <c r="AC37" s="2332"/>
      <c r="AD37" s="3281"/>
      <c r="AH37" s="3282"/>
      <c r="AI37" s="1164"/>
      <c r="AJ37" s="2219"/>
      <c r="AK37" s="1164"/>
      <c r="AL37" s="2572" t="s">
        <v>125</v>
      </c>
      <c r="AM37" s="2573" t="s">
        <v>744</v>
      </c>
      <c r="AN37" s="1558"/>
      <c r="AO37" s="3281"/>
      <c r="AS37" s="3282"/>
      <c r="AT37" s="1164"/>
      <c r="AU37" s="2219"/>
      <c r="AV37" s="2580"/>
      <c r="AW37" s="1173" t="s">
        <v>472</v>
      </c>
      <c r="AX37" s="1164"/>
      <c r="AY37" s="2580"/>
      <c r="AZ37" s="1173" t="s">
        <v>472</v>
      </c>
      <c r="BA37" s="1164"/>
      <c r="BB37" s="2580"/>
      <c r="BC37" s="1173" t="s">
        <v>472</v>
      </c>
      <c r="BD37" s="1164"/>
      <c r="BE37" s="1164"/>
      <c r="BF37" s="542"/>
      <c r="BG37" s="2420"/>
      <c r="BH37" s="2420"/>
      <c r="BI37" s="542"/>
      <c r="BJ37" s="2420"/>
      <c r="BK37" s="2420"/>
      <c r="BL37" s="542"/>
      <c r="BM37" s="2420"/>
      <c r="BN37" s="2420"/>
      <c r="BO37" s="542"/>
      <c r="BP37" s="2420"/>
      <c r="BQ37" s="2420"/>
      <c r="BR37" s="542"/>
      <c r="BS37" s="2420"/>
      <c r="BT37" s="2420"/>
      <c r="BU37" s="2556"/>
      <c r="BV37" s="2556"/>
      <c r="BW37" s="2420"/>
    </row>
    <row r="38" spans="1:75" ht="23.25" customHeight="1" thickTop="1" thickBot="1">
      <c r="A38" s="2422" t="s">
        <v>703</v>
      </c>
      <c r="C38" s="2423"/>
      <c r="D38" s="2817"/>
      <c r="E38" s="2814">
        <v>0.21</v>
      </c>
      <c r="F38" s="2332"/>
      <c r="G38" s="2415">
        <f>C38+D38</f>
        <v>0</v>
      </c>
      <c r="H38" s="1164"/>
      <c r="I38" s="1164"/>
      <c r="J38" s="1164"/>
      <c r="K38" s="2536"/>
      <c r="L38" s="1164"/>
      <c r="M38" s="2761" t="s">
        <v>714</v>
      </c>
      <c r="N38" s="2385"/>
      <c r="O38" s="2429"/>
      <c r="P38" s="1125"/>
      <c r="Q38" s="2522">
        <v>0.05</v>
      </c>
      <c r="R38" s="2523">
        <v>5</v>
      </c>
      <c r="S38" s="2521">
        <v>12</v>
      </c>
      <c r="T38" s="2521">
        <v>0</v>
      </c>
      <c r="U38" s="2524">
        <v>0</v>
      </c>
      <c r="V38" s="1164"/>
      <c r="W38" s="2219"/>
      <c r="X38" s="1164"/>
      <c r="Y38" s="2360" t="s">
        <v>738</v>
      </c>
      <c r="Z38" s="1164"/>
      <c r="AA38" s="2774"/>
      <c r="AB38" s="2571" t="s">
        <v>472</v>
      </c>
      <c r="AC38" s="1164"/>
      <c r="AD38" s="3281"/>
      <c r="AH38" s="3282"/>
      <c r="AI38" s="1164"/>
      <c r="AJ38" s="2219"/>
      <c r="AK38" s="1164"/>
      <c r="AL38" s="2778"/>
      <c r="AM38" s="1172" t="s">
        <v>472</v>
      </c>
      <c r="AN38" s="2594"/>
      <c r="AO38" s="3281"/>
      <c r="AS38" s="3282"/>
      <c r="AT38" s="1164"/>
      <c r="AU38" s="2219"/>
      <c r="AV38" s="1174">
        <f>AV36+AV37</f>
        <v>0</v>
      </c>
      <c r="AW38" s="1171"/>
      <c r="AX38" s="1164"/>
      <c r="AY38" s="1174">
        <f>AY36+AY37</f>
        <v>0</v>
      </c>
      <c r="AZ38" s="1171"/>
      <c r="BA38" s="1164"/>
      <c r="BB38" s="1174">
        <f>BB36+BB37</f>
        <v>0</v>
      </c>
      <c r="BC38" s="1171"/>
      <c r="BD38" s="1164"/>
      <c r="BE38" s="1164"/>
      <c r="BF38" s="542"/>
      <c r="BG38" s="2420"/>
      <c r="BH38" s="2420"/>
      <c r="BI38" s="542"/>
      <c r="BJ38" s="2420"/>
      <c r="BK38" s="2420"/>
      <c r="BL38" s="542"/>
      <c r="BM38" s="2420"/>
      <c r="BN38" s="2420"/>
      <c r="BO38" s="542"/>
      <c r="BP38" s="2420"/>
      <c r="BQ38" s="2420"/>
      <c r="BR38" s="542"/>
      <c r="BS38" s="2420"/>
      <c r="BT38" s="2420"/>
      <c r="BU38" s="2556"/>
      <c r="BV38" s="2556"/>
      <c r="BW38" s="2420"/>
    </row>
    <row r="39" spans="1:75" ht="24" customHeight="1" thickBot="1">
      <c r="A39" s="2419" t="s">
        <v>721</v>
      </c>
      <c r="C39" s="2432">
        <f>C38</f>
        <v>0</v>
      </c>
      <c r="D39" s="2432">
        <f>D38</f>
        <v>0</v>
      </c>
      <c r="E39" s="1520"/>
      <c r="F39" s="1164"/>
      <c r="G39" s="2416">
        <f>G38</f>
        <v>0</v>
      </c>
      <c r="H39" s="1164"/>
      <c r="I39" s="1164"/>
      <c r="J39" s="1164"/>
      <c r="K39" s="2536"/>
      <c r="L39" s="1164"/>
      <c r="M39" s="2762" t="s">
        <v>715</v>
      </c>
      <c r="N39" s="2387"/>
      <c r="O39" s="2763"/>
      <c r="P39" s="2420"/>
      <c r="Q39" s="2420"/>
      <c r="R39" s="2420"/>
      <c r="S39" s="1164"/>
      <c r="T39" s="1164"/>
      <c r="U39" s="1164"/>
      <c r="V39" s="1164"/>
      <c r="W39" s="2219"/>
      <c r="X39" s="1164"/>
      <c r="Y39" s="2565" t="s">
        <v>739</v>
      </c>
      <c r="Z39" s="1164"/>
      <c r="AA39" s="2775"/>
      <c r="AB39" s="1173" t="s">
        <v>472</v>
      </c>
      <c r="AC39" s="1164"/>
      <c r="AD39" s="3281"/>
      <c r="AH39" s="3282"/>
      <c r="AI39" s="1164"/>
      <c r="AJ39" s="2219"/>
      <c r="AK39" s="1164"/>
      <c r="AL39" s="2775"/>
      <c r="AM39" s="1173" t="s">
        <v>472</v>
      </c>
      <c r="AN39" s="2595"/>
      <c r="AO39" s="3281"/>
      <c r="AS39" s="3282"/>
      <c r="AT39" s="1164"/>
      <c r="AU39" s="2219"/>
      <c r="AV39" s="2582"/>
      <c r="AW39" s="1182" t="s">
        <v>478</v>
      </c>
      <c r="AX39" s="1164"/>
      <c r="AY39" s="2582"/>
      <c r="AZ39" s="1182" t="s">
        <v>478</v>
      </c>
      <c r="BA39" s="1164"/>
      <c r="BB39" s="2582"/>
      <c r="BC39" s="1182" t="s">
        <v>478</v>
      </c>
      <c r="BD39" s="1164"/>
      <c r="BE39" s="1164"/>
      <c r="BF39" s="1164"/>
      <c r="BG39" s="1164"/>
      <c r="BH39" s="542"/>
      <c r="BI39" s="542"/>
      <c r="BJ39" s="1164"/>
      <c r="BK39" s="542"/>
      <c r="BL39" s="542"/>
      <c r="BM39" s="532"/>
      <c r="BN39" s="2558"/>
      <c r="BO39" s="2558"/>
      <c r="BP39" s="275"/>
      <c r="BQ39" s="275"/>
      <c r="BR39" s="275"/>
      <c r="BS39" s="275"/>
      <c r="BT39" s="275"/>
      <c r="BU39" s="2556"/>
      <c r="BV39" s="2556"/>
      <c r="BW39" s="2420"/>
    </row>
    <row r="40" spans="1:75" ht="40.5" customHeight="1" thickTop="1" thickBot="1">
      <c r="K40" s="2536"/>
      <c r="M40" s="2435" t="s">
        <v>800</v>
      </c>
      <c r="N40" s="2387"/>
      <c r="O40" s="2764">
        <f>O38+O39</f>
        <v>0</v>
      </c>
      <c r="P40" s="1164"/>
      <c r="Q40" s="1164"/>
      <c r="R40" s="1164"/>
      <c r="S40" s="1164"/>
      <c r="T40" s="1164"/>
      <c r="U40" s="1164"/>
      <c r="V40" s="1164"/>
      <c r="W40" s="2219"/>
      <c r="X40" s="1164"/>
      <c r="Y40" s="2362" t="s">
        <v>747</v>
      </c>
      <c r="Z40" s="1164"/>
      <c r="AA40" s="2776">
        <f>AA38+AA39</f>
        <v>0</v>
      </c>
      <c r="AB40" s="2579"/>
      <c r="AC40" s="1164"/>
      <c r="AD40" s="3281"/>
      <c r="AH40" s="3282"/>
      <c r="AI40" s="1164"/>
      <c r="AJ40" s="2219"/>
      <c r="AK40" s="1164"/>
      <c r="AL40" s="2776">
        <f>AL38+AL39</f>
        <v>0</v>
      </c>
      <c r="AM40" s="2579"/>
      <c r="AN40" s="2584"/>
      <c r="AO40" s="3281"/>
      <c r="AS40" s="3282"/>
      <c r="AT40" s="1164"/>
      <c r="AU40" s="2219"/>
      <c r="AV40" s="1174">
        <f>AV39</f>
        <v>0</v>
      </c>
      <c r="AW40" s="1171"/>
      <c r="AX40" s="1164"/>
      <c r="AY40" s="1174">
        <f>AY39</f>
        <v>0</v>
      </c>
      <c r="AZ40" s="1171"/>
      <c r="BA40" s="1164"/>
      <c r="BB40" s="1174">
        <f>BB39</f>
        <v>0</v>
      </c>
      <c r="BC40" s="1171"/>
      <c r="BD40" s="1164"/>
      <c r="BE40" s="1164"/>
      <c r="BF40" s="1164"/>
      <c r="BG40" s="1164"/>
      <c r="BH40" s="542"/>
      <c r="BI40" s="542"/>
      <c r="BJ40" s="1164"/>
      <c r="BK40" s="542"/>
      <c r="BL40" s="542"/>
      <c r="BM40" s="532"/>
      <c r="BN40" s="2558"/>
      <c r="BO40" s="2558"/>
      <c r="BP40" s="275"/>
      <c r="BQ40" s="275"/>
      <c r="BR40" s="275"/>
      <c r="BS40" s="275"/>
      <c r="BT40" s="275"/>
      <c r="BU40" s="2556"/>
      <c r="BV40" s="2556"/>
      <c r="BW40" s="2420"/>
    </row>
    <row r="41" spans="1:75" ht="41.25" customHeight="1" thickTop="1" thickBot="1">
      <c r="A41" s="2435" t="s">
        <v>707</v>
      </c>
      <c r="B41" s="2331"/>
      <c r="C41" s="2460"/>
      <c r="D41" s="2460"/>
      <c r="E41" s="2461"/>
      <c r="F41" s="1164"/>
      <c r="G41" s="2436">
        <f>'(0) 1a. Activos de Partida'!B40</f>
        <v>0</v>
      </c>
      <c r="K41" s="2536"/>
      <c r="V41" s="1164"/>
      <c r="W41" s="2219"/>
      <c r="X41" s="1164"/>
      <c r="Y41" s="2360" t="s">
        <v>712</v>
      </c>
      <c r="Z41" s="1164"/>
      <c r="AA41" s="2777"/>
      <c r="AB41" s="1182" t="s">
        <v>478</v>
      </c>
      <c r="AC41" s="1164"/>
      <c r="AD41" s="3288"/>
      <c r="AE41" s="1164"/>
      <c r="AF41" s="1164"/>
      <c r="AG41" s="1164"/>
      <c r="AH41" s="3289"/>
      <c r="AJ41" s="2611"/>
      <c r="AL41" s="2777"/>
      <c r="AM41" s="1182" t="s">
        <v>478</v>
      </c>
      <c r="AN41" s="2595"/>
      <c r="AO41" s="3311"/>
      <c r="AP41" s="2595"/>
      <c r="AQ41" s="2595"/>
      <c r="AR41" s="2595"/>
      <c r="AS41" s="3312"/>
      <c r="AV41" s="2581"/>
      <c r="AW41" s="1175"/>
      <c r="AX41" s="1164"/>
      <c r="AY41" s="2581"/>
      <c r="AZ41" s="1175"/>
      <c r="BA41" s="1164"/>
      <c r="BB41" s="2581"/>
      <c r="BC41" s="1175"/>
      <c r="BD41" s="1164"/>
      <c r="BE41" s="1164"/>
      <c r="BF41" s="1164"/>
      <c r="BG41" s="1164"/>
      <c r="BH41" s="542"/>
      <c r="BI41" s="542"/>
      <c r="BJ41" s="1164"/>
      <c r="BK41" s="542"/>
      <c r="BL41" s="542"/>
      <c r="BM41" s="532"/>
      <c r="BN41" s="2558"/>
      <c r="BO41" s="2558"/>
      <c r="BP41" s="275"/>
      <c r="BQ41" s="275"/>
      <c r="BR41" s="275"/>
      <c r="BS41" s="275"/>
      <c r="BT41" s="275"/>
      <c r="BU41" s="2556"/>
      <c r="BV41" s="2556"/>
    </row>
    <row r="42" spans="1:75" ht="18.75" customHeight="1" thickTop="1" thickBot="1">
      <c r="H42" s="1164"/>
      <c r="I42" s="1164"/>
      <c r="J42" s="1164"/>
      <c r="K42" s="2536"/>
      <c r="L42" s="1164"/>
      <c r="M42" s="2333"/>
      <c r="N42" s="2383"/>
      <c r="P42" s="1164"/>
      <c r="Q42" s="1164"/>
      <c r="R42" s="1164"/>
      <c r="S42" s="1164"/>
      <c r="T42" s="1164"/>
      <c r="U42" s="1164"/>
      <c r="V42" s="1164"/>
      <c r="W42" s="2219"/>
      <c r="X42" s="1164"/>
      <c r="Y42" s="2419" t="s">
        <v>748</v>
      </c>
      <c r="Z42" s="1164"/>
      <c r="AA42" s="2776">
        <f>AA41</f>
        <v>0</v>
      </c>
      <c r="AB42" s="2579"/>
      <c r="AC42" s="1164"/>
      <c r="AD42" s="3288"/>
      <c r="AE42" s="1164"/>
      <c r="AF42" s="1164"/>
      <c r="AG42" s="1164"/>
      <c r="AH42" s="3289"/>
      <c r="AJ42" s="2611"/>
      <c r="AL42" s="2776">
        <f>AL41</f>
        <v>0</v>
      </c>
      <c r="AM42" s="2579"/>
      <c r="AN42" s="2584"/>
      <c r="AO42" s="3313"/>
      <c r="AP42" s="2584"/>
      <c r="AQ42" s="2584"/>
      <c r="AR42" s="2584"/>
      <c r="AS42" s="3314"/>
      <c r="AV42" s="2587"/>
      <c r="AW42" s="1176"/>
      <c r="AX42" s="1164"/>
      <c r="AY42" s="2587"/>
      <c r="AZ42" s="1176"/>
      <c r="BA42" s="1164"/>
      <c r="BB42" s="2587"/>
      <c r="BC42" s="1176"/>
      <c r="BD42" s="1164"/>
      <c r="BE42" s="1164"/>
      <c r="BF42" s="1164"/>
      <c r="BG42" s="1164"/>
      <c r="BH42" s="542"/>
      <c r="BI42" s="542"/>
      <c r="BJ42" s="1164"/>
      <c r="BK42" s="542"/>
      <c r="BL42" s="542"/>
      <c r="BM42" s="532"/>
      <c r="BN42" s="2558"/>
      <c r="BO42" s="2558"/>
      <c r="BP42" s="275"/>
      <c r="BQ42" s="275"/>
      <c r="BR42" s="275"/>
      <c r="BS42" s="275"/>
      <c r="BT42" s="275"/>
      <c r="BU42" s="2556"/>
      <c r="BV42" s="2556"/>
    </row>
    <row r="43" spans="1:75" ht="39.75" customHeight="1" thickTop="1" thickBot="1">
      <c r="A43" s="2462" t="s">
        <v>708</v>
      </c>
      <c r="B43" s="2331"/>
      <c r="C43" s="2460"/>
      <c r="D43" s="2460"/>
      <c r="E43" s="2461"/>
      <c r="F43" s="1164"/>
      <c r="G43" s="2463">
        <f>IF('(0) 1b. Pasivos de Partida'!B36&lt;0,-'(0) 1b. Pasivos de Partida'!B36,0)</f>
        <v>0</v>
      </c>
      <c r="K43" s="2536"/>
      <c r="M43" s="2760" t="s">
        <v>801</v>
      </c>
      <c r="O43" s="2765">
        <f>(O23+O24)-((O23+O24)/(1+'1.Datos Básicos. Product-Serv'!$B$17))</f>
        <v>0</v>
      </c>
      <c r="P43" s="1164"/>
      <c r="Q43" s="1164"/>
      <c r="R43" s="1164"/>
      <c r="S43" s="1164"/>
      <c r="T43" s="1164"/>
      <c r="U43" s="1164"/>
      <c r="V43" s="1164"/>
      <c r="W43" s="2219"/>
      <c r="X43" s="1164"/>
      <c r="Y43" s="2360" t="s">
        <v>713</v>
      </c>
      <c r="Z43" s="1521"/>
      <c r="AA43" s="2778"/>
      <c r="AB43" s="2779"/>
      <c r="AC43" s="1164"/>
      <c r="AD43" s="3298"/>
      <c r="AE43" s="3299"/>
      <c r="AF43" s="3299"/>
      <c r="AG43" s="3299"/>
      <c r="AH43" s="3300"/>
      <c r="AJ43" s="2611"/>
      <c r="AL43" s="2778"/>
      <c r="AM43" s="1175"/>
      <c r="AN43" s="2596"/>
      <c r="AO43" s="3315"/>
      <c r="AP43" s="3316"/>
      <c r="AQ43" s="3316"/>
      <c r="AR43" s="3316"/>
      <c r="AS43" s="3317"/>
      <c r="AV43" s="2578">
        <f>AV41+AV42</f>
        <v>0</v>
      </c>
      <c r="AW43" s="1171"/>
      <c r="AX43" s="1164"/>
      <c r="AY43" s="2578">
        <f>AY41+AY42</f>
        <v>0</v>
      </c>
      <c r="AZ43" s="1171"/>
      <c r="BA43" s="1164"/>
      <c r="BB43" s="2578">
        <f>BB41+BB42</f>
        <v>0</v>
      </c>
      <c r="BC43" s="1171"/>
      <c r="BD43" s="1164"/>
      <c r="BE43" s="1164"/>
      <c r="BF43" s="1164"/>
      <c r="BG43" s="1164"/>
      <c r="BH43" s="542"/>
      <c r="BI43" s="542"/>
      <c r="BJ43" s="1164"/>
      <c r="BK43" s="542"/>
      <c r="BL43" s="542"/>
      <c r="BM43" s="532"/>
      <c r="BN43" s="2558"/>
      <c r="BO43" s="2558"/>
      <c r="BP43" s="275"/>
      <c r="BQ43" s="275"/>
      <c r="BR43" s="275"/>
      <c r="BS43" s="275"/>
      <c r="BT43" s="275"/>
      <c r="BU43" s="2556"/>
      <c r="BV43" s="2556"/>
    </row>
    <row r="44" spans="1:75" ht="44.25" customHeight="1" thickTop="1" thickBot="1">
      <c r="A44" s="2462" t="s">
        <v>709</v>
      </c>
      <c r="B44" s="2331"/>
      <c r="C44" s="2460"/>
      <c r="D44" s="2460"/>
      <c r="E44" s="2461"/>
      <c r="F44" s="1164"/>
      <c r="G44" s="2464">
        <f>IF('(0) 1b. Pasivos de Partida'!B36&gt;0,'(0) 1b. Pasivos de Partida'!B36,0)</f>
        <v>0</v>
      </c>
      <c r="H44" s="2465"/>
      <c r="I44" s="1164"/>
      <c r="J44" s="1164"/>
      <c r="K44" s="2219"/>
      <c r="L44" s="1164"/>
      <c r="P44" s="1164"/>
      <c r="Q44" s="1164"/>
      <c r="R44" s="1164"/>
      <c r="S44" s="1164"/>
      <c r="T44" s="1164"/>
      <c r="U44" s="1164"/>
      <c r="V44" s="1164"/>
      <c r="W44" s="2219"/>
      <c r="X44" s="1164"/>
      <c r="Y44" s="2497" t="s">
        <v>451</v>
      </c>
      <c r="Z44" s="1517"/>
      <c r="AA44" s="2780"/>
      <c r="AB44" s="1176"/>
      <c r="AC44" s="1164"/>
      <c r="AD44" s="3628" t="s">
        <v>755</v>
      </c>
      <c r="AE44" s="3629"/>
      <c r="AF44" s="3629"/>
      <c r="AG44" s="3629"/>
      <c r="AH44" s="3630"/>
      <c r="AI44" s="1164"/>
      <c r="AJ44" s="2219"/>
      <c r="AK44" s="1164"/>
      <c r="AL44" s="2780"/>
      <c r="AM44" s="1176"/>
      <c r="AN44" s="2596"/>
      <c r="AO44" s="3628" t="s">
        <v>755</v>
      </c>
      <c r="AP44" s="3629"/>
      <c r="AQ44" s="3629"/>
      <c r="AR44" s="3629"/>
      <c r="AS44" s="3630"/>
      <c r="AT44" s="1164"/>
      <c r="AU44" s="2219"/>
      <c r="AV44" s="2580"/>
      <c r="AW44" s="1173" t="s">
        <v>485</v>
      </c>
      <c r="AX44" s="1517"/>
      <c r="AY44" s="1189"/>
      <c r="AZ44" s="1173" t="s">
        <v>485</v>
      </c>
      <c r="BA44" s="1517"/>
      <c r="BB44" s="1189"/>
      <c r="BC44" s="1173" t="s">
        <v>485</v>
      </c>
      <c r="BD44" s="1164"/>
      <c r="BE44" s="1164"/>
      <c r="BF44" s="1164"/>
      <c r="BG44" s="1164"/>
      <c r="BH44" s="542"/>
      <c r="BI44" s="542"/>
      <c r="BJ44" s="1164"/>
      <c r="BK44" s="542"/>
      <c r="BL44" s="542"/>
      <c r="BM44" s="1164"/>
      <c r="BN44" s="542"/>
      <c r="BO44" s="542"/>
      <c r="BP44" s="1164"/>
      <c r="BQ44" s="542"/>
      <c r="BR44" s="542"/>
      <c r="BS44" s="1164"/>
      <c r="BT44" s="542"/>
      <c r="BU44" s="2556"/>
      <c r="BV44" s="2556"/>
    </row>
    <row r="45" spans="1:75" ht="33" customHeight="1" thickTop="1" thickBot="1">
      <c r="H45" s="2466"/>
      <c r="I45" s="1164"/>
      <c r="J45" s="1164"/>
      <c r="K45" s="2219"/>
      <c r="L45" s="1164"/>
      <c r="M45" s="1164"/>
      <c r="N45" s="2387"/>
      <c r="O45" s="1164"/>
      <c r="P45" s="2473"/>
      <c r="Q45" s="2342"/>
      <c r="R45" s="2473"/>
      <c r="S45" s="1521"/>
      <c r="T45" s="1521"/>
      <c r="U45" s="1521"/>
      <c r="V45" s="1521"/>
      <c r="W45" s="2612"/>
      <c r="X45" s="1521"/>
      <c r="Y45" s="2419" t="s">
        <v>749</v>
      </c>
      <c r="Z45" s="1517"/>
      <c r="AA45" s="2776">
        <f>AA43+AA44</f>
        <v>0</v>
      </c>
      <c r="AB45" s="2579"/>
      <c r="AC45" s="1164"/>
      <c r="AD45" s="2603" t="s">
        <v>9</v>
      </c>
      <c r="AE45" s="2604" t="s">
        <v>10</v>
      </c>
      <c r="AF45" s="2604" t="s">
        <v>730</v>
      </c>
      <c r="AG45" s="2604" t="s">
        <v>728</v>
      </c>
      <c r="AH45" s="2605" t="s">
        <v>729</v>
      </c>
      <c r="AI45" s="1164"/>
      <c r="AJ45" s="2219"/>
      <c r="AK45" s="1164"/>
      <c r="AL45" s="2776">
        <f>AL43+AL44</f>
        <v>0</v>
      </c>
      <c r="AM45" s="2579"/>
      <c r="AN45" s="2584"/>
      <c r="AO45" s="2603" t="s">
        <v>9</v>
      </c>
      <c r="AP45" s="2604" t="s">
        <v>10</v>
      </c>
      <c r="AQ45" s="2604" t="s">
        <v>730</v>
      </c>
      <c r="AR45" s="2604" t="s">
        <v>728</v>
      </c>
      <c r="AS45" s="2605" t="s">
        <v>729</v>
      </c>
      <c r="AT45" s="1164"/>
      <c r="AU45" s="2219"/>
      <c r="AV45" s="1174">
        <f>AV44</f>
        <v>0</v>
      </c>
      <c r="AW45" s="1171"/>
      <c r="AX45" s="1164"/>
      <c r="AY45" s="1174">
        <f>AY44</f>
        <v>0</v>
      </c>
      <c r="AZ45" s="1171"/>
      <c r="BA45" s="1164"/>
      <c r="BB45" s="1174">
        <f>BB44</f>
        <v>0</v>
      </c>
      <c r="BC45" s="1171"/>
      <c r="BD45" s="1521"/>
      <c r="BE45" s="1521"/>
      <c r="BF45" s="1164"/>
      <c r="BG45" s="2473"/>
      <c r="BH45" s="2559"/>
      <c r="BI45" s="542"/>
      <c r="BJ45" s="2473"/>
      <c r="BK45" s="2559"/>
      <c r="BL45" s="542"/>
      <c r="BM45" s="2473"/>
      <c r="BN45" s="2540"/>
      <c r="BP45" s="2473"/>
      <c r="BQ45" s="1125"/>
      <c r="BS45" s="2473"/>
      <c r="BT45" s="1125"/>
      <c r="BU45" s="2556"/>
      <c r="BV45" s="2556"/>
    </row>
    <row r="46" spans="1:75" ht="23.25" customHeight="1" thickTop="1" thickBot="1">
      <c r="A46" s="2467" t="s">
        <v>577</v>
      </c>
      <c r="B46" s="2468"/>
      <c r="C46" s="2468"/>
      <c r="D46" s="2468"/>
      <c r="E46" s="2469"/>
      <c r="F46" s="2469"/>
      <c r="G46" s="2472">
        <f>IF((G36+G11)=0,0,(G36+G11))</f>
        <v>0</v>
      </c>
      <c r="H46" s="1517"/>
      <c r="I46" s="1517"/>
      <c r="J46" s="1517"/>
      <c r="K46" s="2219"/>
      <c r="L46" s="1517"/>
      <c r="M46" s="2467" t="s">
        <v>578</v>
      </c>
      <c r="N46" s="2504"/>
      <c r="O46" s="2472">
        <f>O11+O36</f>
        <v>0</v>
      </c>
      <c r="P46" s="2405"/>
      <c r="Q46" s="2405"/>
      <c r="R46" s="1517"/>
      <c r="S46" s="1517"/>
      <c r="T46" s="1517"/>
      <c r="U46" s="1517"/>
      <c r="V46" s="1517"/>
      <c r="W46" s="2613"/>
      <c r="X46" s="1517"/>
      <c r="Y46" s="2565" t="s">
        <v>716</v>
      </c>
      <c r="Z46" s="1522"/>
      <c r="AA46" s="2775"/>
      <c r="AB46" s="1173" t="s">
        <v>485</v>
      </c>
      <c r="AC46" s="1517"/>
      <c r="AD46" s="2599">
        <v>0.05</v>
      </c>
      <c r="AE46" s="2600">
        <v>4</v>
      </c>
      <c r="AF46" s="2601">
        <v>4</v>
      </c>
      <c r="AG46" s="2601">
        <v>0</v>
      </c>
      <c r="AH46" s="2602">
        <v>0</v>
      </c>
      <c r="AI46" s="1164"/>
      <c r="AJ46" s="2219"/>
      <c r="AK46" s="1164"/>
      <c r="AL46" s="2775"/>
      <c r="AM46" s="1173" t="s">
        <v>485</v>
      </c>
      <c r="AN46" s="2595"/>
      <c r="AO46" s="2599">
        <v>0.05</v>
      </c>
      <c r="AP46" s="2600">
        <v>4</v>
      </c>
      <c r="AQ46" s="2601">
        <v>4</v>
      </c>
      <c r="AR46" s="2601">
        <v>0</v>
      </c>
      <c r="AS46" s="2602">
        <v>0</v>
      </c>
      <c r="AT46" s="1164"/>
      <c r="AU46" s="2219"/>
      <c r="BD46" s="1517"/>
      <c r="BE46" s="1517"/>
      <c r="BF46" s="1164"/>
      <c r="BG46" s="2556"/>
      <c r="BH46" s="2556"/>
      <c r="BI46" s="542"/>
      <c r="BJ46" s="2556"/>
      <c r="BK46" s="2556"/>
      <c r="BL46" s="542"/>
      <c r="BM46" s="2540"/>
      <c r="BN46" s="2540"/>
      <c r="BO46" s="542"/>
      <c r="BP46" s="1125"/>
      <c r="BQ46" s="1125"/>
      <c r="BR46" s="542"/>
      <c r="BS46" s="1125"/>
      <c r="BT46" s="1125"/>
      <c r="BU46" s="2556"/>
      <c r="BV46" s="2556"/>
    </row>
    <row r="47" spans="1:75" ht="34.5" customHeight="1" thickTop="1" thickBot="1">
      <c r="H47" s="1164"/>
      <c r="I47" s="1164"/>
      <c r="J47" s="1164"/>
      <c r="K47" s="2219"/>
      <c r="L47" s="1164"/>
      <c r="P47" s="2474"/>
      <c r="Q47" s="2475"/>
      <c r="R47" s="1517"/>
      <c r="S47" s="1517"/>
      <c r="T47" s="1517"/>
      <c r="U47" s="1517"/>
      <c r="V47" s="1517"/>
      <c r="W47" s="2613"/>
      <c r="X47" s="1517"/>
      <c r="Y47" s="2419" t="s">
        <v>750</v>
      </c>
      <c r="Z47" s="1517"/>
      <c r="AA47" s="2776">
        <f>AA46</f>
        <v>0</v>
      </c>
      <c r="AB47" s="2579"/>
      <c r="AC47" s="1164"/>
      <c r="AD47" s="3301"/>
      <c r="AE47" s="3302"/>
      <c r="AF47" s="3302"/>
      <c r="AG47" s="3302"/>
      <c r="AH47" s="3303"/>
      <c r="AI47" s="1164"/>
      <c r="AJ47" s="2219"/>
      <c r="AK47" s="1164"/>
      <c r="AL47" s="2776">
        <f>AL46</f>
        <v>0</v>
      </c>
      <c r="AM47" s="2579"/>
      <c r="AN47" s="2584"/>
      <c r="AO47" s="3301"/>
      <c r="AP47" s="3302"/>
      <c r="AQ47" s="3302"/>
      <c r="AR47" s="3302"/>
      <c r="AS47" s="3303"/>
      <c r="AT47" s="1164"/>
      <c r="AU47" s="2219"/>
      <c r="BD47" s="1517"/>
      <c r="BE47" s="1517"/>
      <c r="BF47" s="1164"/>
      <c r="BG47" s="2474"/>
      <c r="BH47" s="2475"/>
      <c r="BI47" s="542"/>
      <c r="BJ47" s="2474"/>
      <c r="BK47" s="2475"/>
      <c r="BL47" s="542"/>
      <c r="BM47" s="2540"/>
      <c r="BN47" s="2540"/>
      <c r="BO47" s="542"/>
      <c r="BP47" s="1125"/>
      <c r="BQ47" s="1125"/>
      <c r="BR47" s="542"/>
      <c r="BS47" s="1125"/>
      <c r="BT47" s="1125"/>
      <c r="BU47" s="2556"/>
      <c r="BV47" s="2556"/>
    </row>
    <row r="48" spans="1:75" ht="25.5" customHeight="1" thickTop="1" thickBot="1">
      <c r="A48" s="1463"/>
      <c r="E48" s="1522"/>
      <c r="F48" s="1522"/>
      <c r="G48" s="1522"/>
      <c r="H48" s="1522"/>
      <c r="I48" s="1522"/>
      <c r="J48" s="1522"/>
      <c r="K48" s="2219"/>
      <c r="L48" s="1522"/>
      <c r="M48" s="1522"/>
      <c r="N48" s="2389"/>
      <c r="O48" s="1522"/>
      <c r="P48" s="2405"/>
      <c r="Q48" s="2405"/>
      <c r="R48" s="1522"/>
      <c r="S48" s="1522"/>
      <c r="T48" s="1522"/>
      <c r="U48" s="1522"/>
      <c r="V48" s="1522"/>
      <c r="W48" s="2614"/>
      <c r="X48" s="1522"/>
      <c r="Y48" s="541"/>
      <c r="Z48" s="1517"/>
      <c r="AA48" s="2583"/>
      <c r="AB48" s="2584"/>
      <c r="AC48" s="1164"/>
      <c r="AD48" s="3628" t="s">
        <v>862</v>
      </c>
      <c r="AE48" s="3629"/>
      <c r="AF48" s="3629"/>
      <c r="AG48" s="3629"/>
      <c r="AH48" s="3630"/>
      <c r="AI48" s="1164"/>
      <c r="AJ48" s="2219"/>
      <c r="AK48" s="1164"/>
      <c r="AL48" s="2583"/>
      <c r="AM48" s="2584"/>
      <c r="AN48" s="2584"/>
      <c r="AO48" s="3628" t="s">
        <v>862</v>
      </c>
      <c r="AP48" s="3629"/>
      <c r="AQ48" s="3629"/>
      <c r="AR48" s="3629"/>
      <c r="AS48" s="3630"/>
      <c r="AT48" s="1164"/>
      <c r="AU48" s="2219"/>
      <c r="AV48" s="2583"/>
      <c r="AW48" s="2584"/>
      <c r="AX48" s="1164"/>
      <c r="AY48" s="2583"/>
      <c r="AZ48" s="2584"/>
      <c r="BA48" s="1164"/>
      <c r="BB48" s="2583"/>
      <c r="BC48" s="2584"/>
      <c r="BD48" s="1522"/>
      <c r="BE48" s="1522"/>
      <c r="BF48" s="1164"/>
      <c r="BG48" s="2556"/>
      <c r="BH48" s="2556"/>
      <c r="BI48" s="542"/>
      <c r="BJ48" s="2556"/>
      <c r="BK48" s="2556"/>
      <c r="BL48" s="542"/>
      <c r="BO48" s="542"/>
      <c r="BR48" s="542"/>
      <c r="BS48" s="2556"/>
      <c r="BT48" s="2556"/>
      <c r="BU48" s="2556"/>
      <c r="BV48" s="2556"/>
      <c r="BW48" s="2420"/>
    </row>
    <row r="49" spans="1:75" ht="20.25" customHeight="1" thickTop="1" thickBot="1">
      <c r="A49" s="2520"/>
      <c r="B49" s="1125"/>
      <c r="C49" s="1125"/>
      <c r="D49" s="1125"/>
      <c r="E49" s="1517"/>
      <c r="F49" s="1517"/>
      <c r="G49" s="1517"/>
      <c r="H49" s="1517"/>
      <c r="I49" s="1517"/>
      <c r="J49" s="1517"/>
      <c r="K49" s="2219"/>
      <c r="L49" s="1517"/>
      <c r="M49" s="1517"/>
      <c r="N49" s="2388"/>
      <c r="O49" s="1517"/>
      <c r="P49" s="1517"/>
      <c r="Q49" s="1517"/>
      <c r="R49" s="1517"/>
      <c r="S49" s="1517"/>
      <c r="T49" s="1517"/>
      <c r="U49" s="1517"/>
      <c r="V49" s="1517"/>
      <c r="W49" s="2613"/>
      <c r="X49" s="1517"/>
      <c r="Y49" s="2761" t="s">
        <v>714</v>
      </c>
      <c r="Z49" s="1164"/>
      <c r="AA49" s="2778"/>
      <c r="AB49" s="2781" t="s">
        <v>475</v>
      </c>
      <c r="AC49" s="1521"/>
      <c r="AD49" s="3275">
        <f>AD20</f>
        <v>0.05</v>
      </c>
      <c r="AE49" s="3276">
        <f>AE20</f>
        <v>4</v>
      </c>
      <c r="AF49" s="3277">
        <f>AF20</f>
        <v>12</v>
      </c>
      <c r="AG49" s="3277">
        <f>AG20</f>
        <v>0</v>
      </c>
      <c r="AH49" s="3278">
        <f>AH20</f>
        <v>0</v>
      </c>
      <c r="AI49" s="1521"/>
      <c r="AJ49" s="2612"/>
      <c r="AK49" s="1521"/>
      <c r="AL49" s="2778"/>
      <c r="AM49" s="1181" t="s">
        <v>475</v>
      </c>
      <c r="AN49" s="2595"/>
      <c r="AO49" s="3275">
        <f>AO20</f>
        <v>0.05</v>
      </c>
      <c r="AP49" s="3276">
        <f>AP20</f>
        <v>4</v>
      </c>
      <c r="AQ49" s="3277">
        <f>AQ20</f>
        <v>12</v>
      </c>
      <c r="AR49" s="3277">
        <f>AR20</f>
        <v>0</v>
      </c>
      <c r="AS49" s="3278">
        <f>AS20</f>
        <v>0</v>
      </c>
      <c r="AT49" s="1521"/>
      <c r="AU49" s="2612"/>
      <c r="AV49" s="2581"/>
      <c r="AW49" s="1181" t="s">
        <v>475</v>
      </c>
      <c r="AX49" s="1521"/>
      <c r="AY49" s="2581"/>
      <c r="AZ49" s="1181" t="s">
        <v>475</v>
      </c>
      <c r="BA49" s="1521"/>
      <c r="BB49" s="2581"/>
      <c r="BC49" s="1181" t="s">
        <v>475</v>
      </c>
      <c r="BD49" s="1517"/>
      <c r="BE49" s="1517"/>
      <c r="BF49" s="1164"/>
      <c r="BG49" s="1517"/>
      <c r="BH49" s="2557"/>
      <c r="BI49" s="542"/>
      <c r="BJ49" s="1517"/>
      <c r="BK49" s="2557"/>
      <c r="BL49" s="542"/>
      <c r="BM49" s="1164"/>
      <c r="BN49" s="542"/>
      <c r="BO49" s="542"/>
      <c r="BP49" s="1164"/>
      <c r="BQ49" s="542"/>
      <c r="BR49" s="542"/>
      <c r="BS49" s="1164"/>
      <c r="BT49" s="542"/>
      <c r="BU49" s="2556"/>
      <c r="BV49" s="2556"/>
      <c r="BW49" s="2420"/>
    </row>
    <row r="50" spans="1:75" ht="20.25" customHeight="1" thickTop="1" thickBot="1">
      <c r="A50" s="2520"/>
      <c r="B50" s="1125"/>
      <c r="C50" s="1125"/>
      <c r="D50" s="1125"/>
      <c r="E50" s="1517"/>
      <c r="F50" s="1517"/>
      <c r="G50" s="1517"/>
      <c r="H50" s="1517"/>
      <c r="I50" s="1517"/>
      <c r="J50" s="1517"/>
      <c r="K50" s="2219"/>
      <c r="L50" s="1517"/>
      <c r="M50" s="1517"/>
      <c r="N50" s="2388"/>
      <c r="O50" s="1517"/>
      <c r="P50" s="1517"/>
      <c r="Q50" s="1517"/>
      <c r="R50" s="1517"/>
      <c r="S50" s="1517"/>
      <c r="T50" s="1517"/>
      <c r="U50" s="1517"/>
      <c r="V50" s="1517"/>
      <c r="W50" s="2613"/>
      <c r="X50" s="1517"/>
      <c r="Y50" s="2762" t="s">
        <v>715</v>
      </c>
      <c r="Z50" s="1164"/>
      <c r="AA50" s="2777"/>
      <c r="AB50" s="1182" t="s">
        <v>473</v>
      </c>
      <c r="AC50" s="1517"/>
      <c r="AD50" s="1517"/>
      <c r="AE50" s="1517"/>
      <c r="AF50" s="1517"/>
      <c r="AG50" s="1517"/>
      <c r="AH50" s="1517"/>
      <c r="AI50" s="1517"/>
      <c r="AJ50" s="2613"/>
      <c r="AK50" s="1517"/>
      <c r="AL50" s="2777"/>
      <c r="AM50" s="1182" t="s">
        <v>473</v>
      </c>
      <c r="AN50" s="2595"/>
      <c r="AO50" s="2595"/>
      <c r="AP50" s="2595"/>
      <c r="AQ50" s="2595"/>
      <c r="AR50" s="2595"/>
      <c r="AS50" s="2595"/>
      <c r="AT50" s="1517"/>
      <c r="AU50" s="2613"/>
      <c r="AV50" s="2582"/>
      <c r="AW50" s="1182" t="s">
        <v>473</v>
      </c>
      <c r="AX50" s="1517"/>
      <c r="AY50" s="2582"/>
      <c r="AZ50" s="1182" t="s">
        <v>473</v>
      </c>
      <c r="BA50" s="1517"/>
      <c r="BB50" s="2582"/>
      <c r="BC50" s="1182" t="s">
        <v>473</v>
      </c>
      <c r="BD50" s="1517"/>
      <c r="BE50" s="1517"/>
      <c r="BF50" s="1164"/>
      <c r="BG50" s="1517"/>
      <c r="BH50" s="2557"/>
      <c r="BI50" s="542"/>
      <c r="BJ50" s="1517"/>
      <c r="BK50" s="2557"/>
      <c r="BL50" s="542"/>
      <c r="BM50" s="1164"/>
      <c r="BN50" s="542"/>
      <c r="BO50" s="542"/>
      <c r="BP50" s="1164"/>
      <c r="BQ50" s="542"/>
      <c r="BR50" s="542"/>
      <c r="BS50" s="1164"/>
      <c r="BT50" s="542"/>
      <c r="BU50" s="2556"/>
      <c r="BV50" s="2556"/>
      <c r="BW50" s="2420"/>
    </row>
    <row r="51" spans="1:75" ht="20.25" customHeight="1" thickTop="1" thickBot="1">
      <c r="A51" s="541"/>
      <c r="B51" s="1125"/>
      <c r="C51" s="1125"/>
      <c r="D51" s="1125"/>
      <c r="E51" s="1164"/>
      <c r="F51" s="1164"/>
      <c r="G51" s="1164"/>
      <c r="H51" s="1164"/>
      <c r="I51" s="1164"/>
      <c r="J51" s="1164"/>
      <c r="K51" s="2219"/>
      <c r="L51" s="1164"/>
      <c r="M51" s="1164"/>
      <c r="N51" s="2387"/>
      <c r="O51" s="1164"/>
      <c r="P51" s="1164"/>
      <c r="Q51" s="1164"/>
      <c r="R51" s="1164"/>
      <c r="S51" s="1164"/>
      <c r="T51" s="1164"/>
      <c r="U51" s="1164"/>
      <c r="V51" s="1164"/>
      <c r="W51" s="2219"/>
      <c r="X51" s="1164"/>
      <c r="Y51" s="2435" t="s">
        <v>751</v>
      </c>
      <c r="Z51" s="1164"/>
      <c r="AA51" s="2776">
        <f>AA49+AA50</f>
        <v>0</v>
      </c>
      <c r="AB51" s="2579"/>
      <c r="AC51" s="1522"/>
      <c r="AD51" s="1522"/>
      <c r="AE51" s="1522"/>
      <c r="AF51" s="1522"/>
      <c r="AG51" s="1522"/>
      <c r="AH51" s="1522"/>
      <c r="AI51" s="1522"/>
      <c r="AJ51" s="2613"/>
      <c r="AK51" s="1522"/>
      <c r="AL51" s="2776">
        <f>AL49+AL50</f>
        <v>0</v>
      </c>
      <c r="AM51" s="2579"/>
      <c r="AN51" s="2584"/>
      <c r="AO51" s="2584"/>
      <c r="AP51" s="2584"/>
      <c r="AQ51" s="2584"/>
      <c r="AR51" s="2584"/>
      <c r="AS51" s="2584"/>
      <c r="AT51" s="1522"/>
      <c r="AU51" s="2614"/>
      <c r="AV51" s="2578">
        <f>AV49+AV50</f>
        <v>0</v>
      </c>
      <c r="AW51" s="2579"/>
      <c r="AX51" s="1522"/>
      <c r="AY51" s="2578">
        <f>AY49+AY50</f>
        <v>0</v>
      </c>
      <c r="AZ51" s="2579"/>
      <c r="BA51" s="1522"/>
      <c r="BB51" s="2578">
        <f>BB49+BB50</f>
        <v>0</v>
      </c>
      <c r="BC51" s="2579"/>
      <c r="BD51" s="1164"/>
      <c r="BE51" s="1164"/>
      <c r="BF51" s="1164"/>
      <c r="BG51" s="2556"/>
      <c r="BH51" s="2556"/>
      <c r="BI51" s="2556"/>
      <c r="BJ51" s="2556"/>
      <c r="BK51" s="2556"/>
      <c r="BL51" s="2556"/>
      <c r="BS51" s="2556"/>
      <c r="BT51" s="2556"/>
      <c r="BU51" s="2556"/>
      <c r="BV51" s="2556"/>
      <c r="BW51" s="2420"/>
    </row>
    <row r="52" spans="1:75" ht="18.75" customHeight="1" thickTop="1" thickBot="1">
      <c r="A52" s="541"/>
      <c r="B52" s="1125"/>
      <c r="C52" s="1125"/>
      <c r="D52" s="1125"/>
      <c r="E52" s="1164"/>
      <c r="F52" s="1164"/>
      <c r="G52" s="1164"/>
      <c r="H52" s="1164"/>
      <c r="I52" s="1164"/>
      <c r="J52" s="1164"/>
      <c r="K52" s="1164"/>
      <c r="L52" s="1164"/>
      <c r="M52" s="1164"/>
      <c r="N52" s="2387"/>
      <c r="O52" s="1164"/>
      <c r="P52" s="1164"/>
      <c r="Q52" s="1164"/>
      <c r="R52" s="1164"/>
      <c r="S52" s="1164"/>
      <c r="T52" s="1164"/>
      <c r="U52" s="1164"/>
      <c r="V52" s="1164"/>
      <c r="W52" s="2219"/>
      <c r="X52" s="1164"/>
      <c r="Y52" s="338"/>
      <c r="Z52" s="338"/>
      <c r="AA52" s="338"/>
      <c r="AB52" s="338"/>
      <c r="AC52" s="338"/>
      <c r="AD52" s="338"/>
      <c r="AE52" s="338"/>
      <c r="AF52" s="338"/>
      <c r="AG52" s="338"/>
      <c r="AH52" s="338"/>
      <c r="AI52" s="338"/>
      <c r="AJ52" s="2613"/>
      <c r="AK52" s="338"/>
      <c r="AL52" s="338"/>
      <c r="AM52" s="338"/>
      <c r="AN52" s="338"/>
      <c r="AO52" s="2420"/>
      <c r="AP52" s="2420"/>
      <c r="AQ52" s="2420"/>
      <c r="AR52" s="2420"/>
      <c r="AS52" s="2420"/>
      <c r="AT52" s="338"/>
      <c r="AU52" s="2631"/>
      <c r="AV52" s="338"/>
      <c r="AW52" s="338"/>
      <c r="AX52" s="338"/>
      <c r="AY52" s="338"/>
      <c r="AZ52" s="338"/>
      <c r="BA52" s="338"/>
      <c r="BB52" s="338"/>
      <c r="BC52" s="338"/>
      <c r="BD52" s="1164"/>
      <c r="BE52" s="1164"/>
      <c r="BF52" s="1164"/>
      <c r="BG52" s="2556"/>
      <c r="BH52" s="2556"/>
      <c r="BI52" s="2556"/>
      <c r="BJ52" s="2556"/>
      <c r="BK52" s="2556"/>
      <c r="BL52" s="2556"/>
      <c r="BS52" s="2556"/>
      <c r="BT52" s="2556"/>
      <c r="BU52" s="2556"/>
      <c r="BV52" s="2556"/>
      <c r="BW52" s="2420"/>
    </row>
    <row r="53" spans="1:75" ht="39" customHeight="1" thickTop="1" thickBot="1">
      <c r="A53" s="541"/>
      <c r="B53" s="1125"/>
      <c r="C53" s="1125"/>
      <c r="D53" s="1125"/>
      <c r="E53" s="1164"/>
      <c r="F53" s="1164"/>
      <c r="G53" s="1164"/>
      <c r="H53" s="1164"/>
      <c r="I53" s="1164"/>
      <c r="J53" s="1164"/>
      <c r="K53" s="1164"/>
      <c r="L53" s="1164"/>
      <c r="M53" s="1164"/>
      <c r="N53" s="2387"/>
      <c r="O53" s="1164"/>
      <c r="P53" s="1164"/>
      <c r="Q53" s="1164"/>
      <c r="R53" s="1164"/>
      <c r="S53" s="1164"/>
      <c r="T53" s="1164"/>
      <c r="U53" s="1164"/>
      <c r="V53" s="1164"/>
      <c r="W53" s="2219"/>
      <c r="X53" s="1164"/>
      <c r="Y53" s="2760" t="s">
        <v>771</v>
      </c>
      <c r="Z53" s="2381"/>
      <c r="AA53" s="2786">
        <f>(AA43+AA44)-((AA43+AA44)/(1+'1.Datos Básicos. Product-Serv'!$B$17))</f>
        <v>0</v>
      </c>
      <c r="AB53" s="338"/>
      <c r="AC53" s="338"/>
      <c r="AD53" s="338"/>
      <c r="AE53" s="338"/>
      <c r="AF53" s="338"/>
      <c r="AG53" s="338"/>
      <c r="AH53" s="338"/>
      <c r="AI53" s="338"/>
      <c r="AJ53" s="2613"/>
      <c r="AK53" s="338"/>
      <c r="AL53" s="2786">
        <f>(AL43+AL44)-((AL43+AL44)/(1+'1.Datos Básicos. Product-Serv'!$B$17))</f>
        <v>0</v>
      </c>
      <c r="AM53" s="338"/>
      <c r="AN53" s="338"/>
      <c r="AO53" s="2420"/>
      <c r="AP53" s="2420"/>
      <c r="AQ53" s="2420"/>
      <c r="AR53" s="2420"/>
      <c r="AS53" s="2420"/>
      <c r="AT53" s="338"/>
      <c r="AU53" s="2631"/>
      <c r="AV53" s="338"/>
      <c r="AW53" s="338"/>
      <c r="AX53" s="338"/>
      <c r="AY53" s="338"/>
      <c r="AZ53" s="338"/>
      <c r="BA53" s="338"/>
      <c r="BB53" s="338"/>
      <c r="BC53" s="338"/>
      <c r="BD53" s="1164"/>
      <c r="BE53" s="1164"/>
      <c r="BF53" s="1164"/>
      <c r="BG53" s="2556"/>
      <c r="BH53" s="2556"/>
      <c r="BI53" s="2556"/>
      <c r="BJ53" s="2556"/>
      <c r="BK53" s="2556"/>
      <c r="BL53" s="2556"/>
      <c r="BS53" s="2556"/>
      <c r="BT53" s="2556"/>
      <c r="BU53" s="2556"/>
      <c r="BV53" s="2556"/>
      <c r="BW53" s="2420"/>
    </row>
    <row r="54" spans="1:75" ht="20.25" customHeight="1" thickTop="1">
      <c r="A54" s="541"/>
      <c r="B54" s="1125"/>
      <c r="C54" s="1125"/>
      <c r="D54" s="1125"/>
      <c r="E54" s="1164"/>
      <c r="F54" s="1164"/>
      <c r="G54" s="1164"/>
      <c r="H54" s="1164"/>
      <c r="I54" s="1164"/>
      <c r="J54" s="1164"/>
      <c r="K54" s="1164"/>
      <c r="L54" s="1164"/>
      <c r="M54" s="1164"/>
      <c r="N54" s="2387"/>
      <c r="O54" s="1164"/>
      <c r="P54" s="1164"/>
      <c r="Q54" s="1164"/>
      <c r="R54" s="1164"/>
      <c r="S54" s="1164"/>
      <c r="T54" s="1164"/>
      <c r="U54" s="1164"/>
      <c r="V54" s="1164"/>
      <c r="W54" s="2219"/>
      <c r="X54" s="1164"/>
      <c r="Y54" s="1164"/>
      <c r="Z54" s="1164"/>
      <c r="AA54" s="338"/>
      <c r="AB54" s="338"/>
      <c r="AC54" s="338"/>
      <c r="AD54" s="338"/>
      <c r="AE54" s="338"/>
      <c r="AF54" s="338"/>
      <c r="AG54" s="338"/>
      <c r="AH54" s="338"/>
      <c r="AI54" s="338"/>
      <c r="AJ54" s="338"/>
      <c r="AK54" s="338"/>
      <c r="AL54" s="338"/>
      <c r="AM54" s="338"/>
      <c r="AN54" s="338"/>
      <c r="AO54" s="338"/>
      <c r="AP54" s="338"/>
      <c r="AQ54" s="338"/>
      <c r="AR54" s="338"/>
      <c r="AS54" s="338"/>
      <c r="AT54" s="338"/>
      <c r="AU54" s="2631"/>
      <c r="AV54" s="338"/>
      <c r="AW54" s="338"/>
      <c r="AX54" s="338"/>
      <c r="AY54" s="338"/>
      <c r="AZ54" s="338"/>
      <c r="BA54" s="338"/>
      <c r="BB54" s="338"/>
      <c r="BC54" s="338"/>
      <c r="BD54" s="1164"/>
      <c r="BE54" s="1164"/>
      <c r="BF54" s="1164"/>
      <c r="BG54" s="2556"/>
      <c r="BH54" s="2556"/>
      <c r="BI54" s="2556"/>
      <c r="BJ54" s="2556"/>
      <c r="BK54" s="2556"/>
      <c r="BL54" s="2556"/>
      <c r="BS54" s="2556"/>
      <c r="BT54" s="2556"/>
      <c r="BU54" s="2556"/>
      <c r="BV54" s="2556"/>
      <c r="BW54" s="2420"/>
    </row>
    <row r="55" spans="1:75" ht="42" customHeight="1">
      <c r="A55" s="2341"/>
      <c r="B55" s="1125"/>
      <c r="C55" s="1125"/>
      <c r="D55" s="1125"/>
      <c r="E55" s="2406"/>
      <c r="F55" s="2406"/>
      <c r="G55" s="2406"/>
      <c r="H55" s="2406"/>
      <c r="I55" s="2406"/>
      <c r="J55" s="2406"/>
      <c r="K55" s="2406"/>
      <c r="L55" s="2406"/>
      <c r="M55" s="2406"/>
      <c r="N55" s="2382"/>
      <c r="O55" s="2406"/>
      <c r="P55" s="2406"/>
      <c r="Q55" s="2342"/>
      <c r="R55" s="2406"/>
      <c r="S55" s="1168"/>
      <c r="T55" s="1168"/>
      <c r="U55" s="1168"/>
      <c r="V55" s="1168"/>
      <c r="W55" s="2608"/>
      <c r="X55" s="1168"/>
      <c r="Y55" s="1168"/>
      <c r="Z55" s="1168"/>
      <c r="AA55" s="1168"/>
      <c r="AB55" s="1168"/>
      <c r="AC55" s="1168"/>
      <c r="AD55" s="1168"/>
      <c r="AE55" s="1168"/>
      <c r="AF55" s="1168"/>
      <c r="AG55" s="1168"/>
      <c r="AH55" s="1168"/>
      <c r="AI55" s="1168"/>
      <c r="AJ55" s="1168"/>
      <c r="AK55" s="1168"/>
      <c r="AL55" s="1168"/>
      <c r="AM55" s="1168"/>
      <c r="AN55" s="1168"/>
      <c r="AO55" s="1168"/>
      <c r="AP55" s="1168"/>
      <c r="AQ55" s="1168"/>
      <c r="AR55" s="1168"/>
      <c r="AS55" s="1168"/>
      <c r="AT55" s="1168"/>
      <c r="AU55" s="2608"/>
      <c r="AV55" s="1168"/>
      <c r="AW55" s="1168"/>
      <c r="AX55" s="1168"/>
      <c r="AY55" s="1168"/>
      <c r="AZ55" s="1168"/>
      <c r="BA55" s="1168"/>
      <c r="BB55" s="1168"/>
      <c r="BC55" s="1168"/>
      <c r="BD55" s="1168"/>
      <c r="BE55" s="1168"/>
      <c r="BF55" s="1164"/>
      <c r="BG55" s="2406"/>
      <c r="BH55" s="2342"/>
      <c r="BI55" s="2342"/>
      <c r="BJ55" s="2342"/>
      <c r="BK55" s="2342"/>
      <c r="BL55" s="2342"/>
      <c r="BM55" s="2406"/>
      <c r="BN55" s="2406"/>
      <c r="BO55" s="2406"/>
      <c r="BP55" s="2406"/>
      <c r="BQ55" s="2406"/>
      <c r="BR55" s="2406"/>
      <c r="BS55" s="2406"/>
      <c r="BT55" s="2406"/>
      <c r="BU55" s="2556"/>
      <c r="BV55" s="2556"/>
      <c r="BW55" s="2420"/>
    </row>
    <row r="56" spans="1:75" s="2976" customFormat="1" ht="9" customHeight="1">
      <c r="A56" s="2967"/>
      <c r="B56" s="2968"/>
      <c r="C56" s="2968"/>
      <c r="D56" s="2968"/>
      <c r="E56" s="2969"/>
      <c r="F56" s="2969"/>
      <c r="G56" s="2969"/>
      <c r="H56" s="2969"/>
      <c r="I56" s="2969"/>
      <c r="J56" s="2969"/>
      <c r="K56" s="2969"/>
      <c r="L56" s="2969"/>
      <c r="M56" s="2969"/>
      <c r="N56" s="2970"/>
      <c r="O56" s="2969"/>
      <c r="P56" s="2969"/>
      <c r="Q56" s="2971"/>
      <c r="R56" s="2969"/>
      <c r="S56" s="2972"/>
      <c r="T56" s="2972"/>
      <c r="U56" s="2972"/>
      <c r="V56" s="2972"/>
      <c r="W56" s="2608"/>
      <c r="X56" s="2972"/>
      <c r="Y56" s="2972"/>
      <c r="Z56" s="2972"/>
      <c r="AA56" s="2972"/>
      <c r="AB56" s="2972"/>
      <c r="AC56" s="2972"/>
      <c r="AD56" s="2972"/>
      <c r="AE56" s="2972"/>
      <c r="AF56" s="2972"/>
      <c r="AG56" s="2972"/>
      <c r="AH56" s="2972"/>
      <c r="AI56" s="2972"/>
      <c r="AJ56" s="2972"/>
      <c r="AK56" s="2972"/>
      <c r="AL56" s="2972"/>
      <c r="AM56" s="2972"/>
      <c r="AN56" s="2972"/>
      <c r="AO56" s="2972"/>
      <c r="AP56" s="2972"/>
      <c r="AQ56" s="2972"/>
      <c r="AR56" s="2972"/>
      <c r="AS56" s="2972"/>
      <c r="AT56" s="2972"/>
      <c r="AU56" s="2608"/>
      <c r="AV56" s="2972"/>
      <c r="AW56" s="2972"/>
      <c r="AX56" s="2972"/>
      <c r="AY56" s="2972"/>
      <c r="AZ56" s="2972"/>
      <c r="BA56" s="2972"/>
      <c r="BB56" s="2972"/>
      <c r="BC56" s="2972"/>
      <c r="BD56" s="2972"/>
      <c r="BE56" s="2972"/>
      <c r="BF56" s="2947"/>
      <c r="BG56" s="2973"/>
      <c r="BH56" s="2973"/>
      <c r="BI56" s="2971"/>
      <c r="BJ56" s="2973"/>
      <c r="BK56" s="2973"/>
      <c r="BL56" s="2971"/>
      <c r="BM56" s="2974"/>
      <c r="BN56" s="2974"/>
      <c r="BO56" s="2971"/>
      <c r="BP56" s="2974"/>
      <c r="BQ56" s="2974"/>
      <c r="BR56" s="2969"/>
      <c r="BS56" s="2973"/>
      <c r="BT56" s="2973"/>
      <c r="BU56" s="2973"/>
      <c r="BV56" s="2973"/>
      <c r="BW56" s="2975"/>
    </row>
    <row r="57" spans="1:75" ht="46.5" hidden="1" customHeight="1">
      <c r="A57" s="2341"/>
      <c r="B57" s="1125"/>
      <c r="C57" s="1125"/>
      <c r="D57" s="1125"/>
      <c r="E57" s="2342"/>
      <c r="F57" s="2342"/>
      <c r="G57" s="2342"/>
      <c r="H57" s="2342"/>
      <c r="I57" s="2342"/>
      <c r="J57" s="2342"/>
      <c r="K57" s="2342"/>
      <c r="L57" s="2342"/>
      <c r="M57" s="2342"/>
      <c r="N57" s="2390"/>
      <c r="O57" s="2342"/>
      <c r="P57" s="2342"/>
      <c r="Q57" s="2342"/>
      <c r="R57" s="2342"/>
      <c r="S57" s="1558"/>
      <c r="T57" s="1558"/>
      <c r="U57" s="1558"/>
      <c r="V57" s="1558"/>
      <c r="W57" s="2608"/>
      <c r="X57" s="1558"/>
      <c r="Y57" s="1558"/>
      <c r="Z57" s="1558"/>
      <c r="AA57" s="1558"/>
      <c r="AB57" s="1558"/>
      <c r="AC57" s="1558"/>
      <c r="AD57" s="1558"/>
      <c r="AE57" s="1558"/>
      <c r="AF57" s="1558"/>
      <c r="AG57" s="1558"/>
      <c r="AH57" s="1558"/>
      <c r="AI57" s="1558"/>
      <c r="AJ57" s="1558"/>
      <c r="AK57" s="1558"/>
      <c r="AL57" s="1558"/>
      <c r="AM57" s="1558"/>
      <c r="AN57" s="1558"/>
      <c r="AO57" s="1558"/>
      <c r="AP57" s="1558"/>
      <c r="AQ57" s="1558"/>
      <c r="AR57" s="1558"/>
      <c r="AS57" s="1558"/>
      <c r="AT57" s="1558"/>
      <c r="AU57" s="2608"/>
      <c r="AV57" s="1558"/>
      <c r="AW57" s="1558"/>
      <c r="AX57" s="1558"/>
      <c r="AY57" s="1558"/>
      <c r="AZ57" s="1558"/>
      <c r="BA57" s="1558"/>
      <c r="BB57" s="1558"/>
      <c r="BC57" s="1558"/>
      <c r="BD57" s="1558"/>
      <c r="BE57" s="1558"/>
      <c r="BF57" s="1164"/>
      <c r="BG57" s="2556"/>
      <c r="BH57" s="2556"/>
      <c r="BI57" s="2406"/>
      <c r="BJ57" s="2556"/>
      <c r="BK57" s="2556"/>
      <c r="BL57" s="2406"/>
      <c r="BO57" s="2406"/>
      <c r="BR57" s="2406"/>
      <c r="BS57" s="2556"/>
      <c r="BT57" s="2556"/>
      <c r="BU57" s="2556"/>
      <c r="BV57" s="2556"/>
      <c r="BW57" s="2420"/>
    </row>
    <row r="58" spans="1:75" ht="23.45" hidden="1" customHeight="1" thickBot="1">
      <c r="A58" s="2405"/>
      <c r="B58" s="1125"/>
      <c r="C58" s="1125"/>
      <c r="D58" s="1125"/>
      <c r="E58" s="1169"/>
      <c r="F58" s="1169"/>
      <c r="G58" s="1169"/>
      <c r="H58" s="1169"/>
      <c r="I58" s="1169"/>
      <c r="J58" s="1169"/>
      <c r="K58" s="1169"/>
      <c r="L58" s="1169"/>
      <c r="M58" s="1169"/>
      <c r="N58" s="2391"/>
      <c r="O58" s="1169"/>
      <c r="P58" s="2405"/>
      <c r="Q58" s="2405"/>
      <c r="R58" s="1169"/>
      <c r="S58" s="1169"/>
      <c r="T58" s="1169"/>
      <c r="U58" s="1169"/>
      <c r="V58" s="1169"/>
      <c r="W58" s="2608"/>
      <c r="X58" s="1169"/>
      <c r="Y58" s="1169"/>
      <c r="Z58" s="1169"/>
      <c r="AA58" s="3653" t="str">
        <f>"Durante 1º ejercicio "&amp; '1.Datos Básicos. Product-Serv'!B11</f>
        <v>Durante 1º ejercicio 0</v>
      </c>
      <c r="AB58" s="3654"/>
      <c r="AC58" s="546"/>
      <c r="AD58" s="546"/>
      <c r="AE58" s="546"/>
      <c r="AF58" s="546"/>
      <c r="AG58" s="546"/>
      <c r="AH58" s="546"/>
      <c r="AI58" s="546"/>
      <c r="AJ58" s="546"/>
      <c r="AL58" s="3653" t="str">
        <f>"Durante 2º ejercicio "&amp; '1.Datos Básicos. Product-Serv'!E11</f>
        <v>Durante 2º ejercicio 1</v>
      </c>
      <c r="AM58" s="3654"/>
      <c r="AN58" s="1558"/>
      <c r="AO58" s="1558"/>
      <c r="AP58" s="1558"/>
      <c r="AQ58" s="1558"/>
      <c r="AR58" s="1558"/>
      <c r="AS58" s="1558"/>
      <c r="AU58" s="2608"/>
      <c r="AV58" s="3650" t="str">
        <f>"Durante 3º ejercicio "&amp; '1.Datos Básicos. Product-Serv'!F11</f>
        <v>Durante 3º ejercicio 2</v>
      </c>
      <c r="AW58" s="3634"/>
      <c r="AY58" s="3646" t="str">
        <f>"Durante 4º ejercicio "&amp; '1.Datos Básicos. Product-Serv'!G11</f>
        <v>Durante 4º ejercicio 3</v>
      </c>
      <c r="AZ58" s="3521"/>
      <c r="BB58" s="3646" t="str">
        <f>"Durante 5º ejercicio "&amp; '1.Datos Básicos. Product-Serv'!H11</f>
        <v>Durante 5º ejercicio 4</v>
      </c>
      <c r="BC58" s="3521"/>
      <c r="BD58" s="1169"/>
      <c r="BE58" s="1169"/>
      <c r="BF58" s="1169"/>
      <c r="BG58" s="2556"/>
      <c r="BH58" s="2556"/>
      <c r="BI58" s="1163"/>
      <c r="BJ58" s="2556"/>
      <c r="BK58" s="2556"/>
      <c r="BL58" s="1163"/>
      <c r="BO58" s="1163"/>
      <c r="BR58" s="1163"/>
      <c r="BS58" s="2556"/>
      <c r="BT58" s="2556"/>
      <c r="BU58" s="2556"/>
      <c r="BV58" s="2556"/>
      <c r="BW58" s="2420"/>
    </row>
    <row r="59" spans="1:75" ht="23.45" hidden="1" customHeight="1" thickTop="1" thickBot="1">
      <c r="A59" s="2405"/>
      <c r="B59" s="1125"/>
      <c r="C59" s="1125"/>
      <c r="D59" s="1125"/>
      <c r="E59" s="1169"/>
      <c r="F59" s="1169"/>
      <c r="G59" s="1169"/>
      <c r="H59" s="1169"/>
      <c r="I59" s="1169"/>
      <c r="J59" s="1169"/>
      <c r="K59" s="1169"/>
      <c r="L59" s="1169"/>
      <c r="M59" s="1169"/>
      <c r="N59" s="2391"/>
      <c r="O59" s="1169"/>
      <c r="P59" s="2405"/>
      <c r="Q59" s="2405"/>
      <c r="R59" s="1169"/>
      <c r="S59" s="1169"/>
      <c r="T59" s="1169"/>
      <c r="U59" s="1169"/>
      <c r="V59" s="1169"/>
      <c r="W59" s="2608"/>
      <c r="X59" s="1169"/>
      <c r="Y59" s="1169"/>
      <c r="Z59" s="1169"/>
      <c r="AA59" s="1936" t="str">
        <f>"Inversiones realizadas durante 1º ejerc. "&amp; '1.Datos Básicos. Product-Serv'!$B$11</f>
        <v>Inversiones realizadas durante 1º ejerc. 0</v>
      </c>
      <c r="AB59" s="1937" t="s">
        <v>229</v>
      </c>
      <c r="AC59" s="1208"/>
      <c r="AD59" s="2592"/>
      <c r="AE59" s="2592"/>
      <c r="AF59" s="2592"/>
      <c r="AG59" s="2592"/>
      <c r="AH59" s="2592"/>
      <c r="AI59" s="2592"/>
      <c r="AJ59" s="2592"/>
      <c r="AL59" s="1936" t="str">
        <f>"Inversiones realizadas durante 1º ejerc. "&amp; '1.Datos Básicos. Product-Serv'!E11</f>
        <v>Inversiones realizadas durante 1º ejerc. 1</v>
      </c>
      <c r="AM59" s="1937" t="s">
        <v>229</v>
      </c>
      <c r="AN59" s="2592"/>
      <c r="AO59" s="2592"/>
      <c r="AP59" s="2592"/>
      <c r="AQ59" s="2592"/>
      <c r="AR59" s="2592"/>
      <c r="AS59" s="2592"/>
      <c r="AU59" s="2608"/>
      <c r="AV59" s="575" t="str">
        <f>"Inversiones realizadas durante 1º ejerc. "&amp; '1.Datos Básicos. Product-Serv'!F11</f>
        <v>Inversiones realizadas durante 1º ejerc. 2</v>
      </c>
      <c r="AW59" s="1162" t="s">
        <v>229</v>
      </c>
      <c r="AY59" s="575" t="str">
        <f>"Inversiones realizadas durante 1º ejerc. "&amp; '1.Datos Básicos. Product-Serv'!G11</f>
        <v>Inversiones realizadas durante 1º ejerc. 3</v>
      </c>
      <c r="AZ59" s="1178" t="s">
        <v>229</v>
      </c>
      <c r="BB59" s="575" t="str">
        <f>"Inversiones realizadas durante 1º ejerc. "&amp; '1.Datos Básicos. Product-Serv'!H11</f>
        <v>Inversiones realizadas durante 1º ejerc. 4</v>
      </c>
      <c r="BC59" s="1178" t="s">
        <v>229</v>
      </c>
      <c r="BD59" s="1169"/>
      <c r="BE59" s="1169"/>
      <c r="BF59" s="1169"/>
      <c r="BG59" s="2556"/>
      <c r="BH59" s="2556"/>
      <c r="BI59" s="1163"/>
      <c r="BJ59" s="2556"/>
      <c r="BK59" s="2556"/>
      <c r="BL59" s="1163"/>
      <c r="BO59" s="1163"/>
      <c r="BR59" s="1163"/>
      <c r="BS59" s="2556"/>
      <c r="BT59" s="2556"/>
      <c r="BU59" s="2556"/>
      <c r="BV59" s="2556"/>
      <c r="BW59" s="2420"/>
    </row>
    <row r="60" spans="1:75" ht="23.45" hidden="1" customHeight="1" thickTop="1">
      <c r="A60" s="2405"/>
      <c r="B60" s="1125"/>
      <c r="C60" s="1125"/>
      <c r="D60" s="1125"/>
      <c r="E60" s="1518"/>
      <c r="F60" s="1518"/>
      <c r="G60" s="1518"/>
      <c r="H60" s="1518"/>
      <c r="I60" s="1518"/>
      <c r="J60" s="1518"/>
      <c r="K60" s="1518"/>
      <c r="L60" s="1518"/>
      <c r="M60" s="1518"/>
      <c r="N60" s="1170"/>
      <c r="O60" s="1518"/>
      <c r="P60" s="2405"/>
      <c r="Q60" s="2405"/>
      <c r="R60" s="1518"/>
      <c r="S60" s="1518"/>
      <c r="T60" s="1518"/>
      <c r="U60" s="1518"/>
      <c r="V60" s="1518"/>
      <c r="W60" s="2608"/>
      <c r="X60" s="1518"/>
      <c r="Y60" s="2583" t="s">
        <v>8</v>
      </c>
      <c r="Z60" s="1518"/>
      <c r="AA60" s="548">
        <f>SUMIF(AB$13:AB$21,"T",AA$13:AA$21)+SUMIF(AB$23:AB$26,"T",AA$23:AA$26)</f>
        <v>0</v>
      </c>
      <c r="AB60" s="1212" t="str">
        <f t="shared" ref="AB60:AB65" si="2">IF($AA$66&lt;&gt;0,AA60/$AA$66,"")</f>
        <v/>
      </c>
      <c r="AC60" s="1209"/>
      <c r="AD60" s="1167"/>
      <c r="AE60" s="1167"/>
      <c r="AF60" s="1167"/>
      <c r="AG60" s="1167"/>
      <c r="AH60" s="1167"/>
      <c r="AI60" s="1167"/>
      <c r="AJ60" s="1167"/>
      <c r="AL60" s="1213">
        <f>SUMIF(AM$13:AM$21,"T",AL$13:AL$21)+SUMIF(AM$23:AM$26,"T",AL$23:AL$26)</f>
        <v>0</v>
      </c>
      <c r="AM60" s="1212" t="str">
        <f t="shared" ref="AM60:AM65" si="3">IF($AL$66&lt;&gt;0,AL60/$AL$66,"")</f>
        <v/>
      </c>
      <c r="AN60" s="1167"/>
      <c r="AO60" s="1167"/>
      <c r="AP60" s="1167"/>
      <c r="AQ60" s="1167"/>
      <c r="AR60" s="1167"/>
      <c r="AS60" s="1167"/>
      <c r="AU60" s="2608"/>
      <c r="AV60" s="1213">
        <f>SUMIF(AW$13:AW$21,"T",AV$13:AV$21)+SUMIF(AW$23:AW$26,"T",AV$23:AV$26)</f>
        <v>0</v>
      </c>
      <c r="AW60" s="1212" t="str">
        <f t="shared" ref="AW60:AW65" si="4">IF($AV$66&lt;&gt;0,AV60/$AV$66,"")</f>
        <v/>
      </c>
      <c r="AY60" s="1213">
        <f>SUMIF(AZ$13:AZ$21,"T",AY$13:AY$21)+SUMIF(AZ$23:AZ$26,"T",AY$23:AY$26)</f>
        <v>0</v>
      </c>
      <c r="AZ60" s="1232" t="str">
        <f t="shared" ref="AZ60:AZ65" si="5">IF($AY$66&lt;&gt;0,AY60/$AY$66,"")</f>
        <v/>
      </c>
      <c r="BB60" s="1213">
        <f>SUMIF(BC$13:BC$21,"T",BB$13:BB$21)+SUMIF(BC$23:BC$26,"T",BB$23:BB$26)</f>
        <v>0</v>
      </c>
      <c r="BC60" s="1232" t="str">
        <f t="shared" ref="BC60:BC65" si="6">IF($BB$66&lt;&gt;0,BB60/$BB$66,"")</f>
        <v/>
      </c>
      <c r="BD60" s="1518"/>
      <c r="BE60" s="1518"/>
      <c r="BF60" s="1170"/>
      <c r="BG60" s="2556"/>
      <c r="BH60" s="2556"/>
      <c r="BI60" s="1170"/>
      <c r="BJ60" s="2556"/>
      <c r="BK60" s="2556"/>
      <c r="BL60" s="1170"/>
      <c r="BO60" s="1170"/>
      <c r="BR60" s="1170"/>
      <c r="BS60" s="2556"/>
      <c r="BT60" s="2556"/>
      <c r="BU60" s="2556"/>
      <c r="BV60" s="2556"/>
      <c r="BW60" s="2420"/>
    </row>
    <row r="61" spans="1:75" ht="12" hidden="1" customHeight="1">
      <c r="A61" s="541"/>
      <c r="B61" s="1125"/>
      <c r="C61" s="1125"/>
      <c r="D61" s="1125"/>
      <c r="E61" s="1164"/>
      <c r="F61" s="1164"/>
      <c r="G61" s="1164"/>
      <c r="H61" s="1164"/>
      <c r="I61" s="1164"/>
      <c r="J61" s="1164"/>
      <c r="K61" s="1164"/>
      <c r="L61" s="1164"/>
      <c r="M61" s="1164"/>
      <c r="N61" s="2387"/>
      <c r="O61" s="1164"/>
      <c r="P61" s="1177"/>
      <c r="Q61" s="1177"/>
      <c r="R61" s="1164"/>
      <c r="S61" s="1164"/>
      <c r="T61" s="1164"/>
      <c r="U61" s="1164"/>
      <c r="V61" s="1164"/>
      <c r="W61" s="2608"/>
      <c r="X61" s="1164"/>
      <c r="Y61" s="2583" t="s">
        <v>758</v>
      </c>
      <c r="Z61" s="1164"/>
      <c r="AA61" s="550">
        <f>SUMIF(AB$13:AB$21,"P",AA$13:AA$21)+SUMIF(AB$23:AB$26,"P",AA$23:AA$26)+(AA51-AA50)*0</f>
        <v>0</v>
      </c>
      <c r="AB61" s="551" t="str">
        <f t="shared" si="2"/>
        <v/>
      </c>
      <c r="AC61" s="1209"/>
      <c r="AD61" s="1167"/>
      <c r="AE61" s="1167"/>
      <c r="AF61" s="1167"/>
      <c r="AG61" s="1167"/>
      <c r="AH61" s="1167"/>
      <c r="AI61" s="1167"/>
      <c r="AJ61" s="1167"/>
      <c r="AL61" s="550">
        <f>SUMIF(AM$13:AM$21,"P",AL$13:AL$21)+SUMIF(AM$23:AM$26,"P",AL$23:AL$26)+(AL51-AL50)*0</f>
        <v>0</v>
      </c>
      <c r="AM61" s="551" t="str">
        <f t="shared" si="3"/>
        <v/>
      </c>
      <c r="AN61" s="1167"/>
      <c r="AO61" s="1167"/>
      <c r="AP61" s="1167"/>
      <c r="AQ61" s="1167"/>
      <c r="AR61" s="1167"/>
      <c r="AS61" s="1167"/>
      <c r="AU61" s="2608"/>
      <c r="AV61" s="550">
        <f>SUMIF(AW$13:AW$21,"P",AV$13:AV$21)+SUMIF(AW$23:AW$26,"P",AV$23:AV$26)+(AV51-AV50)*0</f>
        <v>0</v>
      </c>
      <c r="AW61" s="551" t="str">
        <f t="shared" si="4"/>
        <v/>
      </c>
      <c r="AY61" s="550">
        <f>SUMIF(AZ$13:AZ$21,"P",AY$13:AY$21)+SUMIF(AZ$23:AZ$26,"P",AY$23:AY$26)+(AY51-AY50)*0</f>
        <v>0</v>
      </c>
      <c r="AZ61" s="1179" t="str">
        <f t="shared" si="5"/>
        <v/>
      </c>
      <c r="BB61" s="550">
        <f>SUMIF(BC$13:BC$21,"P",BB$13:BB$21)+SUMIF(BC$23:BC$26,"P",BB$23:BB$26)+(BB51-BB50)*0</f>
        <v>0</v>
      </c>
      <c r="BC61" s="1179" t="str">
        <f t="shared" si="6"/>
        <v/>
      </c>
      <c r="BD61" s="1164"/>
      <c r="BE61" s="1164"/>
      <c r="BF61" s="1164"/>
      <c r="BG61" s="2556"/>
      <c r="BH61" s="2556"/>
      <c r="BI61" s="542"/>
      <c r="BJ61" s="2556"/>
      <c r="BK61" s="2556"/>
      <c r="BL61" s="542"/>
      <c r="BO61" s="542"/>
      <c r="BR61" s="542"/>
      <c r="BS61" s="2556"/>
      <c r="BT61" s="2556"/>
      <c r="BU61" s="2556"/>
      <c r="BV61" s="2556"/>
      <c r="BW61" s="2420"/>
    </row>
    <row r="62" spans="1:75" ht="23.25" hidden="1" customHeight="1">
      <c r="A62" s="2405"/>
      <c r="B62" s="1125"/>
      <c r="C62" s="1125"/>
      <c r="D62" s="1125"/>
      <c r="E62" s="1169"/>
      <c r="F62" s="1169"/>
      <c r="G62" s="1169"/>
      <c r="H62" s="1169"/>
      <c r="I62" s="1169"/>
      <c r="J62" s="1169"/>
      <c r="K62" s="1169"/>
      <c r="L62" s="1169"/>
      <c r="M62" s="1169"/>
      <c r="N62" s="2391"/>
      <c r="O62" s="1169"/>
      <c r="P62" s="2405"/>
      <c r="Q62" s="2405"/>
      <c r="R62" s="1169"/>
      <c r="S62" s="1169"/>
      <c r="T62" s="1169"/>
      <c r="U62" s="1169"/>
      <c r="V62" s="1169"/>
      <c r="W62" s="2608"/>
      <c r="X62" s="1169"/>
      <c r="Y62" s="2583" t="s">
        <v>759</v>
      </c>
      <c r="Z62" s="1169"/>
      <c r="AA62" s="550">
        <f>SUMIF(AB$13:AB$21,"A",AA$13:AA$21)+SUMIF(AB$23:AB$26,"A",AA$23:AA$26)+AA40*0</f>
        <v>0</v>
      </c>
      <c r="AB62" s="551" t="str">
        <f t="shared" si="2"/>
        <v/>
      </c>
      <c r="AC62" s="1209"/>
      <c r="AD62" s="1167"/>
      <c r="AE62" s="1167"/>
      <c r="AF62" s="1167"/>
      <c r="AG62" s="1167"/>
      <c r="AH62" s="1167"/>
      <c r="AI62" s="1167"/>
      <c r="AJ62" s="1167"/>
      <c r="AL62" s="1214">
        <f>SUMIF(AM$13:AM$21,"A",AL$13:AL$21)+SUMIF(AM$23:AM$26,"A",AL$23:AL$26)+AL40*0</f>
        <v>0</v>
      </c>
      <c r="AM62" s="551" t="str">
        <f t="shared" si="3"/>
        <v/>
      </c>
      <c r="AN62" s="1167"/>
      <c r="AO62" s="1167"/>
      <c r="AP62" s="1167"/>
      <c r="AQ62" s="1167"/>
      <c r="AR62" s="1167"/>
      <c r="AS62" s="1167"/>
      <c r="AU62" s="2608"/>
      <c r="AV62" s="1214">
        <f>SUMIF(AW$13:AW$21,"A",AV$13:AV$21)+SUMIF(AW$23:AW$26,"A",AV$23:AV$26)+AV38*0</f>
        <v>0</v>
      </c>
      <c r="AW62" s="551" t="str">
        <f t="shared" si="4"/>
        <v/>
      </c>
      <c r="AY62" s="1214">
        <f>SUMIF(AZ$13:AZ$21,"A",AY$13:AY$21)+SUMIF(AZ$23:AZ$26,"A",AY$23:AY$26)+AY38*0</f>
        <v>0</v>
      </c>
      <c r="AZ62" s="1179" t="str">
        <f t="shared" si="5"/>
        <v/>
      </c>
      <c r="BB62" s="1214">
        <f>SUMIF(BC$13:BC$21,"A",BB$13:BB$21)+SUMIF(BC$23:BC$26,"A",BB$23:BB$26)+BB38*0</f>
        <v>0</v>
      </c>
      <c r="BC62" s="1179" t="str">
        <f t="shared" si="6"/>
        <v/>
      </c>
      <c r="BD62" s="1169"/>
      <c r="BE62" s="1169"/>
      <c r="BF62" s="1169"/>
      <c r="BG62" s="2556"/>
      <c r="BH62" s="2556"/>
      <c r="BI62" s="1163"/>
      <c r="BJ62" s="2556"/>
      <c r="BK62" s="2556"/>
      <c r="BL62" s="1163"/>
      <c r="BO62" s="1163"/>
      <c r="BR62" s="1163"/>
      <c r="BS62" s="2556"/>
      <c r="BT62" s="2556"/>
      <c r="BU62" s="2556"/>
      <c r="BV62" s="2556"/>
      <c r="BW62" s="2420"/>
    </row>
    <row r="63" spans="1:75" ht="23.25" hidden="1" customHeight="1">
      <c r="A63" s="2405"/>
      <c r="B63" s="1125"/>
      <c r="C63" s="1125"/>
      <c r="D63" s="1125"/>
      <c r="E63" s="1169"/>
      <c r="F63" s="1169"/>
      <c r="G63" s="1169"/>
      <c r="H63" s="1169"/>
      <c r="I63" s="1169"/>
      <c r="J63" s="1169"/>
      <c r="K63" s="1169"/>
      <c r="L63" s="1169"/>
      <c r="M63" s="1169"/>
      <c r="N63" s="2391"/>
      <c r="O63" s="1169"/>
      <c r="P63" s="2405"/>
      <c r="Q63" s="2405"/>
      <c r="R63" s="1169"/>
      <c r="S63" s="1169"/>
      <c r="T63" s="1169"/>
      <c r="U63" s="1169"/>
      <c r="V63" s="1169"/>
      <c r="W63" s="2608"/>
      <c r="X63" s="1169"/>
      <c r="Y63" s="2626" t="s">
        <v>757</v>
      </c>
      <c r="Z63" s="1169"/>
      <c r="AA63" s="550">
        <f>SUMIF(AB$13:AB$21,"R",AA$13:AA$21)+SUMIF(AB$23:AB$26,"R",AA$23:AA$26)</f>
        <v>0</v>
      </c>
      <c r="AB63" s="551" t="str">
        <f t="shared" si="2"/>
        <v/>
      </c>
      <c r="AC63" s="1209"/>
      <c r="AD63" s="1167"/>
      <c r="AE63" s="1167"/>
      <c r="AF63" s="1167"/>
      <c r="AG63" s="1167"/>
      <c r="AH63" s="1167"/>
      <c r="AI63" s="1167"/>
      <c r="AJ63" s="1167"/>
      <c r="AL63" s="552">
        <f>SUMIF(AM$13:AM$21,"R",AL$13:AL$21)+SUMIF(AM$23:AM$26,"R",AL$23:AL$26)</f>
        <v>0</v>
      </c>
      <c r="AM63" s="551" t="str">
        <f t="shared" si="3"/>
        <v/>
      </c>
      <c r="AN63" s="1167"/>
      <c r="AO63" s="1167"/>
      <c r="AP63" s="1167"/>
      <c r="AQ63" s="1167"/>
      <c r="AR63" s="1167"/>
      <c r="AS63" s="1167"/>
      <c r="AU63" s="2608"/>
      <c r="AV63" s="552">
        <f>SUMIF(AW$13:AW$21,"r",AV$13:AV$21)+SUMIF(AW$23:AW$26,"r",AV$23:AV$26)</f>
        <v>0</v>
      </c>
      <c r="AW63" s="551" t="str">
        <f t="shared" si="4"/>
        <v/>
      </c>
      <c r="AY63" s="552">
        <f>SUMIF(AZ$13:AZ$21,"r",AY$13:AY$21)+SUMIF(AZ$23:AZ$26,"r",AY$23:AY$26)</f>
        <v>0</v>
      </c>
      <c r="AZ63" s="1233" t="str">
        <f t="shared" si="5"/>
        <v/>
      </c>
      <c r="BB63" s="552">
        <f>SUMIF(BC$13:BC$21,"R",BB$13:BB$21)+SUMIF(BC$23:BC$26,"R",BB$23:BB$26)</f>
        <v>0</v>
      </c>
      <c r="BC63" s="1233" t="str">
        <f t="shared" si="6"/>
        <v/>
      </c>
      <c r="BD63" s="1169"/>
      <c r="BE63" s="1169"/>
      <c r="BF63" s="1169"/>
      <c r="BG63" s="2556"/>
      <c r="BH63" s="2556"/>
      <c r="BI63" s="1163"/>
      <c r="BJ63" s="2556"/>
      <c r="BK63" s="2556"/>
      <c r="BL63" s="1163"/>
      <c r="BO63" s="1163"/>
      <c r="BR63" s="1163"/>
      <c r="BS63" s="2556"/>
      <c r="BT63" s="2556"/>
      <c r="BU63" s="2556"/>
      <c r="BV63" s="2556"/>
      <c r="BW63" s="2420"/>
    </row>
    <row r="64" spans="1:75" ht="23.25" hidden="1" customHeight="1">
      <c r="A64" s="2405"/>
      <c r="B64" s="1125"/>
      <c r="C64" s="1125"/>
      <c r="D64" s="1125"/>
      <c r="E64" s="1169"/>
      <c r="F64" s="1169"/>
      <c r="G64" s="1169"/>
      <c r="H64" s="1169"/>
      <c r="I64" s="1169"/>
      <c r="J64" s="1169"/>
      <c r="K64" s="1169"/>
      <c r="L64" s="1169"/>
      <c r="M64" s="1169"/>
      <c r="N64" s="2391"/>
      <c r="O64" s="1169"/>
      <c r="R64" s="1169"/>
      <c r="S64" s="1169"/>
      <c r="T64" s="1169"/>
      <c r="U64" s="1169"/>
      <c r="V64" s="1169"/>
      <c r="W64" s="2608"/>
      <c r="X64" s="1169"/>
      <c r="Y64" s="2626" t="s">
        <v>760</v>
      </c>
      <c r="Z64" s="1169"/>
      <c r="AA64" s="552">
        <f>SUMIF(AB$13:AB$21,"S",AA$13:AA$21)+SUMIF(AB$23:AB$26,"S",AA$23:AA$26)+AA41*0</f>
        <v>0</v>
      </c>
      <c r="AB64" s="551" t="str">
        <f t="shared" si="2"/>
        <v/>
      </c>
      <c r="AC64" s="1209"/>
      <c r="AD64" s="1167"/>
      <c r="AE64" s="1167"/>
      <c r="AF64" s="1167"/>
      <c r="AG64" s="1167"/>
      <c r="AH64" s="1167"/>
      <c r="AI64" s="1167"/>
      <c r="AJ64" s="1167"/>
      <c r="AL64" s="552">
        <f>SUMIF(AM$13:AM$21,"S",AL$13:AL$21)+SUMIF(AM$23:AM$26,"S",AL$23:AL$26)+AL41*0</f>
        <v>0</v>
      </c>
      <c r="AM64" s="551" t="str">
        <f t="shared" si="3"/>
        <v/>
      </c>
      <c r="AN64" s="1167"/>
      <c r="AO64" s="1167"/>
      <c r="AP64" s="1167"/>
      <c r="AQ64" s="1167"/>
      <c r="AR64" s="1167"/>
      <c r="AS64" s="1167"/>
      <c r="AU64" s="2608"/>
      <c r="AV64" s="552">
        <f>SUMIF(AW$13:AW$21,"S",AV$13:AV$21)+SUMIF(AW$23:AW$26,"S",AV$23:AV$26)+AV39*0</f>
        <v>0</v>
      </c>
      <c r="AW64" s="551" t="str">
        <f t="shared" si="4"/>
        <v/>
      </c>
      <c r="AY64" s="552">
        <f>SUMIF(AZ$13:AZ$21,"S",AY$13:AY$21)+SUMIF(AZ$23:AZ$26,"S",AY$23:AY$26)+AY39*0</f>
        <v>0</v>
      </c>
      <c r="AZ64" s="1233" t="str">
        <f t="shared" si="5"/>
        <v/>
      </c>
      <c r="BB64" s="552">
        <f>SUMIF(BC$13:BC$21,"S",BB$13:BB$21)+SUMIF(BC$23:BC$26,"S",BB$23:BB$26)+BB39*0</f>
        <v>0</v>
      </c>
      <c r="BC64" s="1233" t="str">
        <f t="shared" si="6"/>
        <v/>
      </c>
      <c r="BD64" s="1169"/>
      <c r="BE64" s="1169"/>
      <c r="BF64" s="1169"/>
      <c r="BG64" s="2556"/>
      <c r="BH64" s="2556"/>
      <c r="BI64" s="1163"/>
      <c r="BJ64" s="2556"/>
      <c r="BK64" s="2556"/>
      <c r="BL64" s="1163"/>
      <c r="BO64" s="1163"/>
      <c r="BR64" s="1163"/>
      <c r="BS64" s="2556"/>
      <c r="BT64" s="2556"/>
      <c r="BU64" s="2556"/>
      <c r="BV64" s="2556"/>
      <c r="BW64" s="2420"/>
    </row>
    <row r="65" spans="1:75" ht="22.5" hidden="1" customHeight="1" thickBot="1">
      <c r="A65" s="2405"/>
      <c r="B65" s="1125"/>
      <c r="C65" s="1125"/>
      <c r="D65" s="1125"/>
      <c r="E65" s="1518"/>
      <c r="F65" s="1518"/>
      <c r="G65" s="1518"/>
      <c r="H65" s="1518"/>
      <c r="I65" s="1518"/>
      <c r="J65" s="1518"/>
      <c r="K65" s="1518"/>
      <c r="L65" s="1518"/>
      <c r="M65" s="1518"/>
      <c r="N65" s="1170"/>
      <c r="O65" s="1518"/>
      <c r="R65" s="1518"/>
      <c r="S65" s="1518"/>
      <c r="T65" s="1518"/>
      <c r="U65" s="1518"/>
      <c r="V65" s="1518"/>
      <c r="W65" s="2608"/>
      <c r="X65" s="1518"/>
      <c r="Y65" s="2626" t="s">
        <v>761</v>
      </c>
      <c r="Z65" s="1518"/>
      <c r="AA65" s="552">
        <f>SUMIF(AB$13:AB$21,"PS",AA$13:AA$21)+SUMIF(AB$23:AB$26,"PS",AA$23:AA$26)+AA50*0</f>
        <v>0</v>
      </c>
      <c r="AB65" s="551" t="str">
        <f t="shared" si="2"/>
        <v/>
      </c>
      <c r="AC65" s="1209"/>
      <c r="AD65" s="1167"/>
      <c r="AE65" s="1167"/>
      <c r="AF65" s="1167"/>
      <c r="AG65" s="1167"/>
      <c r="AH65" s="1167"/>
      <c r="AI65" s="1167"/>
      <c r="AJ65" s="1167"/>
      <c r="AL65" s="552">
        <f>SUMIF(AM$13:AM$21,"PS",AL$13:AL$21)+SUMIF(AM$23:AM$26,"PS",AL$23:AL$26)+AL50*0</f>
        <v>0</v>
      </c>
      <c r="AM65" s="551" t="str">
        <f t="shared" si="3"/>
        <v/>
      </c>
      <c r="AN65" s="1167"/>
      <c r="AO65" s="1167"/>
      <c r="AP65" s="1167"/>
      <c r="AQ65" s="1167"/>
      <c r="AR65" s="1167"/>
      <c r="AS65" s="1167"/>
      <c r="AU65" s="2608"/>
      <c r="AV65" s="552">
        <f>SUMIF(AW$13:AW$21,"PS",AV$13:AV$21)+SUMIF(AW$23:AW$26,"PS",AV$23:AV$26)+AV50*0</f>
        <v>0</v>
      </c>
      <c r="AW65" s="551" t="str">
        <f t="shared" si="4"/>
        <v/>
      </c>
      <c r="AY65" s="552">
        <f>SUMIF(AZ$13:AZ$21,"PS",AY$13:AY$21)+SUMIF(AZ$23:AZ$26,"PS",AY$23:AY$26)+AY50*0</f>
        <v>0</v>
      </c>
      <c r="AZ65" s="1233" t="str">
        <f t="shared" si="5"/>
        <v/>
      </c>
      <c r="BB65" s="552">
        <f>SUMIF(BC$13:BC$21,"PS",BB$13:BB$21)+SUMIF(BC$23:BC$26,"PS",BB$23:BB$26)+BB50*0</f>
        <v>0</v>
      </c>
      <c r="BC65" s="1233" t="str">
        <f t="shared" si="6"/>
        <v/>
      </c>
      <c r="BD65" s="1518"/>
      <c r="BE65" s="1518"/>
      <c r="BF65" s="1170"/>
      <c r="BG65" s="2556"/>
      <c r="BH65" s="2556"/>
      <c r="BI65" s="1170"/>
      <c r="BJ65" s="2556"/>
      <c r="BK65" s="2556"/>
      <c r="BL65" s="1170"/>
      <c r="BO65" s="1170"/>
      <c r="BR65" s="1170"/>
      <c r="BS65" s="2556"/>
      <c r="BT65" s="2556"/>
      <c r="BU65" s="2556"/>
      <c r="BV65" s="2556"/>
      <c r="BW65" s="2420"/>
    </row>
    <row r="66" spans="1:75" ht="13.5" hidden="1" customHeight="1" thickTop="1" thickBot="1">
      <c r="A66" s="2420"/>
      <c r="B66" s="1125"/>
      <c r="C66" s="2420"/>
      <c r="D66" s="2420"/>
      <c r="E66" s="2420"/>
      <c r="F66" s="2420"/>
      <c r="G66" s="2420"/>
      <c r="H66" s="2420"/>
      <c r="I66" s="2420"/>
      <c r="J66" s="2420"/>
      <c r="K66" s="2420"/>
      <c r="L66" s="2420"/>
      <c r="M66" s="2420"/>
      <c r="N66" s="2392"/>
      <c r="O66" s="338"/>
      <c r="R66" s="338"/>
      <c r="S66" s="338"/>
      <c r="T66" s="338"/>
      <c r="U66" s="338"/>
      <c r="V66" s="338"/>
      <c r="W66" s="2608"/>
      <c r="X66" s="338"/>
      <c r="Y66" s="338"/>
      <c r="Z66" s="338"/>
      <c r="AA66" s="577">
        <f>SUM(AA60:AA65)</f>
        <v>0</v>
      </c>
      <c r="AB66" s="578">
        <f>SUM(AB60:AB65)</f>
        <v>0</v>
      </c>
      <c r="AC66" s="1210"/>
      <c r="AD66" s="2593"/>
      <c r="AE66" s="2593"/>
      <c r="AF66" s="2593"/>
      <c r="AG66" s="2593"/>
      <c r="AH66" s="2593"/>
      <c r="AI66" s="2593"/>
      <c r="AJ66" s="2593"/>
      <c r="AL66" s="577">
        <f>SUM(AL60:AL65)</f>
        <v>0</v>
      </c>
      <c r="AM66" s="578">
        <f>SUM(AM60:AM65)</f>
        <v>0</v>
      </c>
      <c r="AN66" s="2593"/>
      <c r="AO66" s="2593"/>
      <c r="AP66" s="2593"/>
      <c r="AQ66" s="2593"/>
      <c r="AR66" s="2593"/>
      <c r="AS66" s="2593"/>
      <c r="AU66" s="2608"/>
      <c r="AV66" s="579">
        <f>SUM(AV60:AV65)</f>
        <v>0</v>
      </c>
      <c r="AW66" s="578">
        <f>SUM(AW60:AW65)</f>
        <v>0</v>
      </c>
      <c r="AY66" s="577">
        <f>SUM(AY60:AY65)</f>
        <v>0</v>
      </c>
      <c r="AZ66" s="578">
        <f>SUM(AZ60:AZ65)</f>
        <v>0</v>
      </c>
      <c r="BB66" s="577">
        <f>SUM(BB60:BB65)</f>
        <v>0</v>
      </c>
      <c r="BC66" s="422">
        <f>SUM(BC60:BC65)</f>
        <v>0</v>
      </c>
      <c r="BD66" s="338"/>
      <c r="BE66" s="338"/>
      <c r="BF66" s="338"/>
      <c r="BG66" s="2420"/>
      <c r="BH66" s="2420"/>
      <c r="BI66" s="1163"/>
      <c r="BJ66" s="2420"/>
      <c r="BK66" s="2420"/>
      <c r="BL66" s="1163"/>
      <c r="BM66" s="2420"/>
      <c r="BN66" s="2420"/>
      <c r="BO66" s="1163"/>
      <c r="BP66" s="2420"/>
      <c r="BQ66" s="2420"/>
      <c r="BR66" s="1163"/>
      <c r="BS66" s="2420"/>
      <c r="BT66" s="2420"/>
      <c r="BU66" s="2556"/>
      <c r="BV66" s="2556"/>
      <c r="BW66" s="2420"/>
    </row>
    <row r="67" spans="1:75" ht="13.5" hidden="1" customHeight="1" thickTop="1" thickBot="1">
      <c r="A67" s="2420"/>
      <c r="B67" s="1125"/>
      <c r="C67" s="2420"/>
      <c r="D67" s="2420"/>
      <c r="E67" s="2420"/>
      <c r="F67" s="2420"/>
      <c r="G67" s="2420"/>
      <c r="H67" s="2420"/>
      <c r="I67" s="2420"/>
      <c r="J67" s="2420"/>
      <c r="K67" s="2420"/>
      <c r="L67" s="2420"/>
      <c r="M67" s="2420"/>
      <c r="N67" s="2392"/>
      <c r="O67" s="338"/>
      <c r="R67" s="338"/>
      <c r="S67" s="338"/>
      <c r="T67" s="338"/>
      <c r="U67" s="338"/>
      <c r="V67" s="338"/>
      <c r="W67" s="2608"/>
      <c r="X67" s="338"/>
      <c r="Y67" s="338"/>
      <c r="Z67" s="338"/>
      <c r="AA67" s="2782">
        <f>(AA66-AA63)*'1.Datos Básicos. Product-Serv'!$B$17</f>
        <v>0</v>
      </c>
      <c r="AB67" s="1161"/>
      <c r="AC67" s="1211"/>
      <c r="AD67" s="1486"/>
      <c r="AE67" s="1486"/>
      <c r="AF67" s="1486"/>
      <c r="AG67" s="1486"/>
      <c r="AH67" s="1486"/>
      <c r="AI67" s="1486"/>
      <c r="AJ67" s="1486"/>
      <c r="AL67" s="555">
        <f>(AL66-AL63)*'1.Datos Básicos. Product-Serv'!$B$17</f>
        <v>0</v>
      </c>
      <c r="AM67" s="1161"/>
      <c r="AN67" s="1486"/>
      <c r="AO67" s="1486"/>
      <c r="AP67" s="1486"/>
      <c r="AQ67" s="1486"/>
      <c r="AR67" s="1486"/>
      <c r="AS67" s="1486"/>
      <c r="AU67" s="2608"/>
      <c r="AV67" s="555">
        <f>(AV66-AV63)*'1.Datos Básicos. Product-Serv'!$B$17</f>
        <v>0</v>
      </c>
      <c r="AW67" s="1161"/>
      <c r="AY67" s="555">
        <f>(AY66-AY63)*'1.Datos Básicos. Product-Serv'!$B$17</f>
        <v>0</v>
      </c>
      <c r="AZ67" s="1161"/>
      <c r="BB67" s="555">
        <f>(BB66-BB63)*'1.Datos Básicos. Product-Serv'!$B$17</f>
        <v>0</v>
      </c>
      <c r="BC67" s="1180"/>
      <c r="BD67" s="338"/>
      <c r="BE67" s="338"/>
      <c r="BF67" s="338"/>
      <c r="BG67" s="2420"/>
      <c r="BH67" s="2420"/>
      <c r="BI67" s="1163"/>
      <c r="BJ67" s="2420"/>
      <c r="BK67" s="2420"/>
      <c r="BL67" s="1163"/>
      <c r="BM67" s="2420"/>
      <c r="BN67" s="2420"/>
      <c r="BO67" s="1163"/>
      <c r="BP67" s="2420"/>
      <c r="BQ67" s="2420"/>
      <c r="BR67" s="1163"/>
      <c r="BS67" s="2420"/>
      <c r="BT67" s="2420"/>
      <c r="BU67" s="2556"/>
      <c r="BV67" s="2556"/>
      <c r="BW67" s="2420"/>
    </row>
    <row r="68" spans="1:75" ht="41.25" hidden="1" customHeight="1" thickTop="1">
      <c r="A68" s="2341"/>
      <c r="B68" s="1125"/>
      <c r="C68" s="2406"/>
      <c r="D68" s="2342"/>
      <c r="E68" s="2406"/>
      <c r="F68" s="2406"/>
      <c r="G68" s="2406"/>
      <c r="H68" s="2406"/>
      <c r="I68" s="2406"/>
      <c r="J68" s="2406"/>
      <c r="K68" s="2406"/>
      <c r="L68" s="2406"/>
      <c r="M68" s="2406"/>
      <c r="N68" s="2382"/>
      <c r="O68" s="1168"/>
      <c r="R68" s="1168"/>
      <c r="S68" s="1168"/>
      <c r="T68" s="1168"/>
      <c r="U68" s="1168"/>
      <c r="V68" s="1168"/>
      <c r="W68" s="2608"/>
      <c r="X68" s="1168"/>
      <c r="Y68" s="1168"/>
      <c r="Z68" s="1168"/>
      <c r="AA68" s="1484"/>
      <c r="AB68" s="1485"/>
      <c r="AC68" s="1486"/>
      <c r="AD68" s="1486"/>
      <c r="AE68" s="1486"/>
      <c r="AF68" s="1486"/>
      <c r="AG68" s="1486"/>
      <c r="AH68" s="1486"/>
      <c r="AI68" s="1486"/>
      <c r="AJ68" s="1486"/>
      <c r="AL68" s="1484"/>
      <c r="AM68" s="1485"/>
      <c r="AN68" s="1486"/>
      <c r="AO68" s="1486"/>
      <c r="AP68" s="1486"/>
      <c r="AQ68" s="1486"/>
      <c r="AR68" s="1486"/>
      <c r="AS68" s="1486"/>
      <c r="AU68" s="2608"/>
      <c r="AV68" s="1484"/>
      <c r="AW68" s="1485"/>
      <c r="AY68" s="1484"/>
      <c r="AZ68" s="1485"/>
      <c r="BB68" s="1484"/>
      <c r="BC68" s="1485"/>
      <c r="BD68" s="1168"/>
      <c r="BE68" s="1168"/>
      <c r="BF68" s="338"/>
      <c r="BG68" s="2420"/>
      <c r="BH68" s="2420"/>
      <c r="BI68" s="1163"/>
      <c r="BJ68" s="2420"/>
      <c r="BK68" s="2420"/>
      <c r="BL68" s="1163"/>
      <c r="BM68" s="2420"/>
      <c r="BN68" s="2420"/>
      <c r="BO68" s="1163"/>
      <c r="BP68" s="2420"/>
      <c r="BQ68" s="2420"/>
      <c r="BR68" s="1163"/>
      <c r="BS68" s="2420"/>
      <c r="BT68" s="2420"/>
      <c r="BU68" s="2556"/>
      <c r="BV68" s="2556"/>
      <c r="BW68" s="2420"/>
    </row>
    <row r="69" spans="1:75" ht="46.5" customHeight="1" thickBot="1">
      <c r="A69" s="2341"/>
      <c r="B69" s="1125"/>
      <c r="C69" s="2406"/>
      <c r="D69" s="2342"/>
      <c r="E69" s="2406"/>
      <c r="F69" s="2406"/>
      <c r="G69" s="2406"/>
      <c r="H69" s="2406"/>
      <c r="I69" s="2406"/>
      <c r="J69" s="2406"/>
      <c r="K69" s="2406"/>
      <c r="L69" s="2406"/>
      <c r="M69" s="2406"/>
      <c r="N69" s="2382"/>
      <c r="O69" s="1168"/>
      <c r="R69" s="1168"/>
      <c r="S69" s="1168"/>
      <c r="T69" s="1168"/>
      <c r="U69" s="1168"/>
      <c r="V69" s="1168"/>
      <c r="W69" s="2608"/>
      <c r="X69" s="1168"/>
      <c r="Y69" s="1168"/>
      <c r="Z69" s="1168"/>
      <c r="AA69" s="1177"/>
      <c r="AB69" s="1167"/>
      <c r="AC69" s="1167"/>
      <c r="AD69" s="1167"/>
      <c r="AE69" s="1167"/>
      <c r="AF69" s="1167"/>
      <c r="AG69" s="1167"/>
      <c r="AH69" s="1167"/>
      <c r="AI69" s="1167"/>
      <c r="AJ69" s="1167"/>
      <c r="AL69" s="1177"/>
      <c r="AM69" s="1167"/>
      <c r="AN69" s="1167"/>
      <c r="AO69" s="1167"/>
      <c r="AP69" s="1167"/>
      <c r="AQ69" s="1167"/>
      <c r="AR69" s="1167"/>
      <c r="AS69" s="1167"/>
      <c r="AV69" s="1177"/>
      <c r="AW69" s="1167"/>
      <c r="AY69" s="1177"/>
      <c r="AZ69" s="1167"/>
      <c r="BB69" s="1177"/>
      <c r="BC69" s="1167"/>
      <c r="BD69" s="1168"/>
      <c r="BE69" s="1168"/>
      <c r="BF69" s="338"/>
      <c r="BG69" s="2420"/>
      <c r="BH69" s="2420"/>
      <c r="BI69" s="542"/>
      <c r="BJ69" s="2420"/>
      <c r="BK69" s="2420"/>
      <c r="BL69" s="542"/>
      <c r="BM69" s="2420"/>
      <c r="BN69" s="2420"/>
      <c r="BO69" s="542"/>
      <c r="BP69" s="2420"/>
      <c r="BQ69" s="2420"/>
      <c r="BR69" s="542"/>
      <c r="BS69" s="2420"/>
      <c r="BT69" s="2420"/>
      <c r="BU69" s="2556"/>
      <c r="BV69" s="2556"/>
      <c r="BW69" s="2420"/>
    </row>
    <row r="70" spans="1:75" ht="22.5" customHeight="1" thickTop="1" thickBot="1">
      <c r="A70" s="2405"/>
      <c r="B70" s="1125"/>
      <c r="C70" s="1125"/>
      <c r="D70" s="1125"/>
      <c r="E70" s="1169"/>
      <c r="F70" s="1169"/>
      <c r="G70" s="1169"/>
      <c r="H70" s="1169"/>
      <c r="I70" s="1169"/>
      <c r="J70" s="1169"/>
      <c r="K70" s="1169"/>
      <c r="L70" s="1169"/>
      <c r="M70" s="1169"/>
      <c r="N70" s="2391"/>
      <c r="O70" s="1169"/>
      <c r="R70" s="1169"/>
      <c r="S70" s="1169"/>
      <c r="T70" s="1169"/>
      <c r="U70" s="1169"/>
      <c r="V70" s="1169"/>
      <c r="W70" s="2629"/>
      <c r="X70" s="1169"/>
      <c r="Y70" s="1169"/>
      <c r="Z70" s="1169"/>
      <c r="AB70" s="1486"/>
      <c r="AC70" s="1486"/>
      <c r="AD70" s="1486"/>
      <c r="AE70" s="1486"/>
      <c r="AF70" s="1486"/>
      <c r="AG70" s="1486"/>
      <c r="AH70" s="1486"/>
      <c r="AI70" s="1486"/>
      <c r="AJ70" s="1486"/>
      <c r="AM70" s="1486"/>
      <c r="AN70" s="1486"/>
      <c r="AO70" s="1486"/>
      <c r="AP70" s="1486"/>
      <c r="AQ70" s="1486"/>
      <c r="AR70" s="1486"/>
      <c r="AS70" s="1486"/>
      <c r="AV70" s="1234">
        <f>(AV41+AV42)-((AV41+AV42)/(1+'1.Datos Básicos. Product-Serv'!$B$17))</f>
        <v>0</v>
      </c>
      <c r="AW70" s="1161"/>
      <c r="AY70" s="1234">
        <f>(AY41+AY42)-((AY41+AY42)/(1+'1.Datos Básicos. Product-Serv'!$B$17))</f>
        <v>0</v>
      </c>
      <c r="AZ70" s="1161"/>
      <c r="BB70" s="1234">
        <f>(BB41+BB42)-((BB41+BB42)/(1+'1.Datos Básicos. Product-Serv'!$B$17))</f>
        <v>0</v>
      </c>
      <c r="BC70" s="1180"/>
      <c r="BD70" s="1169"/>
      <c r="BE70" s="1169"/>
      <c r="BF70" s="1169"/>
      <c r="BG70" s="2556"/>
      <c r="BH70" s="2556"/>
      <c r="BI70" s="1163"/>
      <c r="BJ70" s="2556"/>
      <c r="BK70" s="2556"/>
      <c r="BL70" s="1163"/>
      <c r="BO70" s="1163"/>
      <c r="BR70" s="1163"/>
      <c r="BS70" s="2556"/>
      <c r="BT70" s="2556"/>
      <c r="BU70" s="2556"/>
      <c r="BV70" s="2556"/>
      <c r="BW70" s="2420"/>
    </row>
    <row r="71" spans="1:75" ht="22.5" customHeight="1" thickTop="1">
      <c r="A71" s="2405"/>
      <c r="B71" s="1125"/>
      <c r="C71" s="1125"/>
      <c r="D71" s="1125"/>
      <c r="E71" s="1169"/>
      <c r="F71" s="1169"/>
      <c r="G71" s="1169"/>
      <c r="H71" s="1169"/>
      <c r="I71" s="1169"/>
      <c r="J71" s="1169"/>
      <c r="K71" s="1169"/>
      <c r="L71" s="1169"/>
      <c r="M71" s="1169"/>
      <c r="N71" s="2391"/>
      <c r="O71" s="1169"/>
      <c r="R71" s="1169"/>
      <c r="S71" s="1169"/>
      <c r="T71" s="1169"/>
      <c r="U71" s="1169"/>
      <c r="V71" s="1169"/>
      <c r="W71" s="2629"/>
      <c r="X71" s="1169"/>
      <c r="Y71" s="1169"/>
      <c r="Z71" s="1169"/>
      <c r="AA71" s="1169"/>
      <c r="AB71" s="1169"/>
      <c r="AC71" s="1169"/>
      <c r="AD71" s="1169"/>
      <c r="AE71" s="1169"/>
      <c r="AF71" s="1169"/>
      <c r="AG71" s="1169"/>
      <c r="AH71" s="1169"/>
      <c r="AI71" s="1169"/>
      <c r="AJ71" s="1169"/>
      <c r="AK71" s="1169"/>
      <c r="AL71" s="1169"/>
      <c r="AM71" s="1169"/>
      <c r="AN71" s="1169"/>
      <c r="AO71" s="1169"/>
      <c r="AP71" s="1169"/>
      <c r="AQ71" s="1169"/>
      <c r="AR71" s="1169"/>
      <c r="AS71" s="1169"/>
      <c r="AT71" s="1169"/>
      <c r="AU71" s="2629"/>
      <c r="AV71" s="1169"/>
      <c r="AW71" s="1169"/>
      <c r="AX71" s="1169"/>
      <c r="AY71" s="1169"/>
      <c r="AZ71" s="1169"/>
      <c r="BA71" s="1169"/>
      <c r="BB71" s="1169"/>
      <c r="BC71" s="1169"/>
      <c r="BD71" s="1169"/>
      <c r="BE71" s="1169"/>
      <c r="BF71" s="1169"/>
      <c r="BG71" s="2556"/>
      <c r="BH71" s="2556"/>
      <c r="BI71" s="1163"/>
      <c r="BJ71" s="2556"/>
      <c r="BK71" s="2556"/>
      <c r="BL71" s="1163"/>
      <c r="BO71" s="1163"/>
      <c r="BR71" s="1163"/>
      <c r="BS71" s="2556"/>
      <c r="BT71" s="2556"/>
      <c r="BU71" s="2556"/>
      <c r="BV71" s="2556"/>
      <c r="BW71" s="2420"/>
    </row>
    <row r="72" spans="1:75" ht="22.5" customHeight="1">
      <c r="E72" s="1169"/>
      <c r="F72" s="1169"/>
      <c r="G72" s="1169"/>
      <c r="H72" s="1169"/>
      <c r="I72" s="1169"/>
      <c r="J72" s="1169"/>
      <c r="K72" s="1169"/>
      <c r="L72" s="1169"/>
      <c r="M72" s="1169"/>
      <c r="N72" s="2391"/>
      <c r="O72" s="1169"/>
      <c r="R72" s="1169"/>
      <c r="S72" s="1169"/>
      <c r="T72" s="1169"/>
      <c r="U72" s="1169"/>
      <c r="V72" s="1169"/>
      <c r="W72" s="2629"/>
      <c r="X72" s="1169"/>
      <c r="Y72" s="1169"/>
      <c r="Z72" s="1169"/>
      <c r="AA72" s="1169"/>
      <c r="AB72" s="1169"/>
      <c r="AC72" s="1169"/>
      <c r="AD72" s="1169"/>
      <c r="AE72" s="1169"/>
      <c r="AF72" s="1169"/>
      <c r="AG72" s="1169"/>
      <c r="AH72" s="1169"/>
      <c r="AI72" s="1169"/>
      <c r="AJ72" s="1169"/>
      <c r="AK72" s="1169"/>
      <c r="AT72" s="1169"/>
      <c r="AU72" s="2629"/>
      <c r="AV72" s="1169"/>
      <c r="AW72" s="1169"/>
      <c r="AX72" s="1169"/>
      <c r="AY72" s="1169"/>
      <c r="AZ72" s="1169"/>
      <c r="BA72" s="1169"/>
      <c r="BB72" s="1169"/>
      <c r="BC72" s="1169"/>
      <c r="BD72" s="1169"/>
      <c r="BE72" s="1169"/>
      <c r="BF72" s="1169"/>
      <c r="BG72" s="2556"/>
      <c r="BH72" s="2556"/>
      <c r="BI72" s="1163"/>
      <c r="BJ72" s="2556"/>
      <c r="BK72" s="2556"/>
      <c r="BL72" s="1163"/>
      <c r="BO72" s="1163"/>
      <c r="BR72" s="1163"/>
      <c r="BS72" s="2556"/>
      <c r="BT72" s="2556"/>
      <c r="BU72" s="2556"/>
      <c r="BV72" s="2556"/>
      <c r="BW72" s="2420"/>
    </row>
    <row r="73" spans="1:75" ht="22.5" customHeight="1">
      <c r="E73" s="1518"/>
      <c r="F73" s="1518"/>
      <c r="G73" s="1518"/>
      <c r="H73" s="1518"/>
      <c r="I73" s="1518"/>
      <c r="J73" s="1518"/>
      <c r="K73" s="1518"/>
      <c r="L73" s="1518"/>
      <c r="M73" s="1518"/>
      <c r="N73" s="1170"/>
      <c r="O73" s="1518"/>
      <c r="R73" s="1518"/>
      <c r="S73" s="1518"/>
      <c r="T73" s="1518"/>
      <c r="U73" s="1518"/>
      <c r="V73" s="1518"/>
      <c r="W73" s="2630"/>
      <c r="X73" s="1518"/>
      <c r="Y73" s="1518"/>
      <c r="Z73" s="1518"/>
      <c r="AA73" s="1518"/>
      <c r="AB73" s="1518"/>
      <c r="AC73" s="1518"/>
      <c r="AD73" s="1518"/>
      <c r="AE73" s="1518"/>
      <c r="AF73" s="1518"/>
      <c r="AG73" s="1518"/>
      <c r="AH73" s="1518"/>
      <c r="AI73" s="1518"/>
      <c r="AJ73" s="1518"/>
      <c r="AK73" s="1518"/>
      <c r="AT73" s="1518"/>
      <c r="AU73" s="2630"/>
      <c r="AV73" s="1518"/>
      <c r="AW73" s="1518"/>
      <c r="AX73" s="1518"/>
      <c r="AY73" s="1518"/>
      <c r="AZ73" s="1518"/>
      <c r="BA73" s="1518"/>
      <c r="BB73" s="1518"/>
      <c r="BC73" s="1518"/>
      <c r="BD73" s="1518"/>
      <c r="BE73" s="1518"/>
      <c r="BF73" s="1170"/>
      <c r="BG73" s="2556"/>
      <c r="BH73" s="2556"/>
      <c r="BI73" s="1170"/>
      <c r="BJ73" s="2556"/>
      <c r="BK73" s="2556"/>
      <c r="BL73" s="1170"/>
      <c r="BO73" s="1170"/>
      <c r="BR73" s="1170"/>
      <c r="BS73" s="2556"/>
      <c r="BT73" s="2556"/>
      <c r="BU73" s="2556"/>
      <c r="BV73" s="2556"/>
      <c r="BW73" s="2420"/>
    </row>
    <row r="74" spans="1:75" ht="24" customHeight="1">
      <c r="A74" s="541"/>
      <c r="C74" s="543"/>
      <c r="D74" s="543"/>
      <c r="E74" s="543"/>
      <c r="F74" s="543"/>
      <c r="G74" s="543"/>
      <c r="H74" s="543"/>
      <c r="I74" s="543"/>
      <c r="J74" s="543"/>
      <c r="K74" s="543"/>
      <c r="L74" s="543"/>
      <c r="M74" s="543"/>
      <c r="N74" s="2387"/>
      <c r="O74" s="543"/>
      <c r="R74" s="543"/>
      <c r="S74" s="543"/>
      <c r="T74" s="543"/>
      <c r="U74" s="543"/>
      <c r="V74" s="543"/>
      <c r="W74" s="2632"/>
      <c r="X74" s="543"/>
      <c r="Y74" s="543"/>
      <c r="Z74" s="543"/>
      <c r="AA74" s="543"/>
      <c r="AB74" s="543"/>
      <c r="AC74" s="543"/>
      <c r="AD74" s="543"/>
      <c r="AE74" s="543"/>
      <c r="AF74" s="543"/>
      <c r="AG74" s="543"/>
      <c r="AH74" s="543"/>
      <c r="AI74" s="543"/>
      <c r="AJ74" s="543"/>
      <c r="AK74" s="543"/>
      <c r="AT74" s="543"/>
      <c r="AU74" s="2632"/>
      <c r="AV74" s="543"/>
      <c r="AW74" s="543"/>
      <c r="AX74" s="543"/>
      <c r="AY74" s="543"/>
      <c r="AZ74" s="543"/>
      <c r="BA74" s="543"/>
      <c r="BB74" s="543"/>
      <c r="BC74" s="543"/>
      <c r="BD74" s="543"/>
      <c r="BE74" s="543"/>
      <c r="BF74" s="543"/>
      <c r="BG74" s="2556"/>
      <c r="BH74" s="2556"/>
      <c r="BI74" s="2556"/>
      <c r="BJ74" s="2556"/>
      <c r="BK74" s="2556"/>
      <c r="BL74" s="2556"/>
      <c r="BS74" s="2556"/>
      <c r="BT74" s="2556"/>
      <c r="BU74" s="2556"/>
      <c r="BV74" s="2556"/>
      <c r="BW74" s="2420"/>
    </row>
    <row r="75" spans="1:75" ht="24" hidden="1" customHeight="1">
      <c r="A75" s="338"/>
      <c r="C75" s="338"/>
      <c r="D75" s="338"/>
      <c r="E75" s="338"/>
      <c r="F75" s="338"/>
      <c r="G75" s="338"/>
      <c r="H75" s="338"/>
      <c r="I75" s="338"/>
      <c r="J75" s="338"/>
      <c r="K75" s="338"/>
      <c r="L75" s="338"/>
      <c r="M75" s="338"/>
      <c r="N75" s="2392"/>
      <c r="O75" s="338"/>
      <c r="R75" s="338"/>
      <c r="S75" s="338"/>
      <c r="T75" s="338"/>
      <c r="U75" s="338"/>
      <c r="V75" s="338"/>
      <c r="W75" s="2631"/>
      <c r="X75" s="338"/>
      <c r="Y75" s="338"/>
      <c r="Z75" s="338"/>
      <c r="AA75" s="338"/>
      <c r="AB75" s="338"/>
      <c r="AC75" s="338"/>
      <c r="AD75" s="338"/>
      <c r="AE75" s="338"/>
      <c r="AF75" s="338"/>
      <c r="AG75" s="338"/>
      <c r="AH75" s="338"/>
      <c r="AI75" s="338"/>
      <c r="AJ75" s="338"/>
      <c r="AK75" s="338"/>
      <c r="AT75" s="338"/>
      <c r="AU75" s="2631"/>
      <c r="AV75" s="338"/>
      <c r="AW75" s="338"/>
      <c r="AX75" s="338"/>
      <c r="AY75" s="338"/>
      <c r="AZ75" s="338"/>
      <c r="BA75" s="338"/>
      <c r="BB75" s="338"/>
      <c r="BC75" s="338"/>
      <c r="BD75" s="338"/>
      <c r="BE75" s="338"/>
      <c r="BF75" s="338"/>
      <c r="BG75" s="2420"/>
      <c r="BH75" s="2420"/>
      <c r="BI75" s="2420"/>
      <c r="BJ75" s="2420"/>
      <c r="BK75" s="2420"/>
      <c r="BL75" s="2420"/>
      <c r="BM75" s="2420"/>
      <c r="BN75" s="2420"/>
      <c r="BO75" s="2420"/>
      <c r="BP75" s="2420"/>
      <c r="BQ75" s="2420"/>
      <c r="BR75" s="2420"/>
      <c r="BS75" s="2420"/>
      <c r="BT75" s="2420"/>
      <c r="BU75" s="2556"/>
      <c r="BV75" s="2556"/>
      <c r="BW75" s="2420"/>
    </row>
    <row r="76" spans="1:75" ht="24" hidden="1" customHeight="1">
      <c r="A76" s="338"/>
      <c r="C76" s="338"/>
      <c r="D76" s="338"/>
      <c r="E76" s="338"/>
      <c r="F76" s="338"/>
      <c r="G76" s="338"/>
      <c r="H76" s="338"/>
      <c r="I76" s="338"/>
      <c r="J76" s="338"/>
      <c r="K76" s="338"/>
      <c r="L76" s="338"/>
      <c r="M76" s="338"/>
      <c r="N76" s="2392"/>
      <c r="O76" s="338"/>
      <c r="R76" s="338"/>
      <c r="S76" s="338"/>
      <c r="T76" s="338"/>
      <c r="U76" s="338"/>
      <c r="V76" s="338"/>
      <c r="W76" s="2631"/>
      <c r="X76" s="338"/>
      <c r="Y76" s="338"/>
      <c r="Z76" s="338"/>
      <c r="AA76" s="338"/>
      <c r="AB76" s="338"/>
      <c r="AC76" s="338"/>
      <c r="AD76" s="338"/>
      <c r="AE76" s="338"/>
      <c r="AF76" s="338"/>
      <c r="AG76" s="338"/>
      <c r="AH76" s="338"/>
      <c r="AI76" s="338"/>
      <c r="AJ76" s="338"/>
      <c r="AK76" s="338"/>
      <c r="AT76" s="338"/>
      <c r="AU76" s="2631"/>
      <c r="AV76" s="338"/>
      <c r="AW76" s="338"/>
      <c r="AX76" s="338"/>
      <c r="AY76" s="338"/>
      <c r="AZ76" s="338"/>
      <c r="BA76" s="338"/>
      <c r="BB76" s="338"/>
      <c r="BC76" s="338"/>
      <c r="BD76" s="338"/>
      <c r="BE76" s="338"/>
      <c r="BF76" s="338"/>
      <c r="BG76" s="2420"/>
      <c r="BH76" s="2420"/>
      <c r="BI76" s="2420"/>
      <c r="BJ76" s="2420"/>
      <c r="BK76" s="2420"/>
      <c r="BL76" s="2420"/>
      <c r="BM76" s="2420"/>
      <c r="BN76" s="2420"/>
      <c r="BO76" s="2420"/>
      <c r="BP76" s="2420"/>
      <c r="BQ76" s="2420"/>
      <c r="BR76" s="2420"/>
      <c r="BS76" s="2420"/>
      <c r="BT76" s="2420"/>
      <c r="BU76" s="2556"/>
      <c r="BV76" s="2556"/>
      <c r="BW76" s="2420"/>
    </row>
    <row r="77" spans="1:75" ht="24" hidden="1" customHeight="1">
      <c r="A77" s="338"/>
      <c r="C77" s="338"/>
      <c r="D77" s="338"/>
      <c r="E77" s="338"/>
      <c r="F77" s="338"/>
      <c r="G77" s="338"/>
      <c r="H77" s="338"/>
      <c r="I77" s="338"/>
      <c r="J77" s="338"/>
      <c r="K77" s="338"/>
      <c r="L77" s="338"/>
      <c r="M77" s="338"/>
      <c r="N77" s="2392"/>
      <c r="O77" s="338"/>
      <c r="R77" s="338"/>
      <c r="S77" s="338"/>
      <c r="T77" s="338"/>
      <c r="U77" s="338"/>
      <c r="V77" s="338"/>
      <c r="W77" s="2631"/>
      <c r="X77" s="338"/>
      <c r="Y77" s="338"/>
      <c r="Z77" s="338"/>
      <c r="AA77" s="338"/>
      <c r="AB77" s="338"/>
      <c r="AC77" s="338"/>
      <c r="AD77" s="338"/>
      <c r="AE77" s="338"/>
      <c r="AF77" s="338"/>
      <c r="AG77" s="338"/>
      <c r="AH77" s="338"/>
      <c r="AI77" s="338"/>
      <c r="AJ77" s="338"/>
      <c r="AK77" s="338"/>
      <c r="AT77" s="338"/>
      <c r="AU77" s="2631"/>
      <c r="AV77" s="338"/>
      <c r="AW77" s="338"/>
      <c r="AX77" s="338"/>
      <c r="AY77" s="338"/>
      <c r="AZ77" s="338"/>
      <c r="BA77" s="338"/>
      <c r="BB77" s="338"/>
      <c r="BC77" s="338"/>
      <c r="BD77" s="338"/>
      <c r="BE77" s="338"/>
      <c r="BF77" s="338"/>
      <c r="BG77" s="2420"/>
      <c r="BH77" s="2420"/>
      <c r="BI77" s="2420"/>
      <c r="BJ77" s="2420"/>
      <c r="BK77" s="2420"/>
      <c r="BL77" s="2420"/>
      <c r="BM77" s="2420"/>
      <c r="BN77" s="2420"/>
      <c r="BO77" s="2420"/>
      <c r="BP77" s="2420"/>
      <c r="BQ77" s="2420"/>
      <c r="BR77" s="2420"/>
      <c r="BS77" s="2420"/>
      <c r="BT77" s="2420"/>
      <c r="BU77" s="2556"/>
      <c r="BV77" s="2556"/>
      <c r="BW77" s="2420"/>
    </row>
    <row r="78" spans="1:75" ht="24" hidden="1" customHeight="1">
      <c r="A78" s="338"/>
      <c r="C78" s="338"/>
      <c r="D78" s="338"/>
      <c r="E78" s="338"/>
      <c r="F78" s="338"/>
      <c r="G78" s="338"/>
      <c r="H78" s="338"/>
      <c r="I78" s="338"/>
      <c r="J78" s="338"/>
      <c r="K78" s="338"/>
      <c r="L78" s="338"/>
      <c r="M78" s="338"/>
      <c r="N78" s="2392"/>
      <c r="O78" s="338"/>
      <c r="R78" s="338"/>
      <c r="S78" s="338"/>
      <c r="T78" s="338"/>
      <c r="U78" s="338"/>
      <c r="V78" s="338"/>
      <c r="W78" s="2631"/>
      <c r="X78" s="338"/>
      <c r="Y78" s="338"/>
      <c r="Z78" s="338"/>
      <c r="AA78" s="338"/>
      <c r="AB78" s="338"/>
      <c r="AC78" s="338"/>
      <c r="AD78" s="338"/>
      <c r="AE78" s="338"/>
      <c r="AF78" s="338"/>
      <c r="AG78" s="338"/>
      <c r="AH78" s="338"/>
      <c r="AI78" s="338"/>
      <c r="AJ78" s="338"/>
      <c r="AK78" s="338"/>
      <c r="AT78" s="338"/>
      <c r="AU78" s="2631"/>
      <c r="AV78" s="338"/>
      <c r="AW78" s="338"/>
      <c r="AX78" s="338"/>
      <c r="AY78" s="338"/>
      <c r="AZ78" s="338"/>
      <c r="BA78" s="338"/>
      <c r="BB78" s="338"/>
      <c r="BC78" s="338"/>
      <c r="BD78" s="338"/>
      <c r="BE78" s="338"/>
      <c r="BF78" s="338"/>
      <c r="BG78" s="2420"/>
      <c r="BH78" s="2420"/>
      <c r="BI78" s="2420"/>
      <c r="BJ78" s="2420"/>
      <c r="BK78" s="2420"/>
      <c r="BL78" s="2420"/>
      <c r="BM78" s="2420"/>
      <c r="BN78" s="2420"/>
      <c r="BO78" s="2420"/>
      <c r="BP78" s="2420"/>
      <c r="BQ78" s="2420"/>
      <c r="BR78" s="2420"/>
      <c r="BS78" s="2420"/>
      <c r="BT78" s="2420"/>
      <c r="BU78" s="2556"/>
      <c r="BV78" s="2556"/>
      <c r="BW78" s="2420"/>
    </row>
    <row r="79" spans="1:75" ht="24" hidden="1" customHeight="1">
      <c r="A79" s="338"/>
      <c r="C79" s="338"/>
      <c r="D79" s="338"/>
      <c r="E79" s="338"/>
      <c r="F79" s="338"/>
      <c r="G79" s="338"/>
      <c r="H79" s="338"/>
      <c r="I79" s="338"/>
      <c r="J79" s="338"/>
      <c r="K79" s="338"/>
      <c r="L79" s="338"/>
      <c r="M79" s="338"/>
      <c r="N79" s="2392"/>
      <c r="O79" s="338"/>
      <c r="R79" s="338"/>
      <c r="S79" s="338"/>
      <c r="T79" s="338"/>
      <c r="U79" s="338"/>
      <c r="V79" s="338"/>
      <c r="W79" s="2631"/>
      <c r="X79" s="338"/>
      <c r="Y79" s="338"/>
      <c r="Z79" s="338"/>
      <c r="AA79" s="338"/>
      <c r="AB79" s="338"/>
      <c r="AC79" s="338"/>
      <c r="AD79" s="338"/>
      <c r="AE79" s="338"/>
      <c r="AF79" s="338"/>
      <c r="AG79" s="338"/>
      <c r="AH79" s="338"/>
      <c r="AI79" s="338"/>
      <c r="AJ79" s="338"/>
      <c r="AK79" s="338"/>
      <c r="AT79" s="338"/>
      <c r="AU79" s="2631"/>
      <c r="AV79" s="338"/>
      <c r="AW79" s="338"/>
      <c r="AX79" s="338"/>
      <c r="AY79" s="338"/>
      <c r="AZ79" s="338"/>
      <c r="BA79" s="338"/>
      <c r="BB79" s="338"/>
      <c r="BC79" s="338"/>
      <c r="BD79" s="338"/>
      <c r="BE79" s="338"/>
      <c r="BF79" s="338"/>
      <c r="BG79" s="2420"/>
      <c r="BH79" s="2420"/>
      <c r="BI79" s="2420"/>
      <c r="BJ79" s="2420"/>
      <c r="BK79" s="2420"/>
      <c r="BL79" s="2420"/>
      <c r="BM79" s="2420"/>
      <c r="BN79" s="2420"/>
      <c r="BO79" s="2420"/>
      <c r="BP79" s="2420"/>
      <c r="BQ79" s="2420"/>
      <c r="BR79" s="2420"/>
      <c r="BS79" s="2420"/>
      <c r="BT79" s="2420"/>
      <c r="BU79" s="2556"/>
      <c r="BV79" s="2556"/>
      <c r="BW79" s="2420"/>
    </row>
    <row r="80" spans="1:75" ht="24" hidden="1" customHeight="1">
      <c r="A80" s="338"/>
      <c r="C80" s="338"/>
      <c r="D80" s="338"/>
      <c r="E80" s="338"/>
      <c r="F80" s="338"/>
      <c r="G80" s="338"/>
      <c r="H80" s="338"/>
      <c r="I80" s="338"/>
      <c r="J80" s="338"/>
      <c r="K80" s="338"/>
      <c r="L80" s="338"/>
      <c r="M80" s="338"/>
      <c r="N80" s="2392"/>
      <c r="O80" s="338"/>
      <c r="R80" s="338"/>
      <c r="S80" s="338"/>
      <c r="T80" s="338"/>
      <c r="U80" s="338"/>
      <c r="V80" s="338"/>
      <c r="W80" s="2631"/>
      <c r="X80" s="338"/>
      <c r="Y80" s="338"/>
      <c r="Z80" s="338"/>
      <c r="AA80" s="338"/>
      <c r="AB80" s="338"/>
      <c r="AC80" s="338"/>
      <c r="AD80" s="338"/>
      <c r="AE80" s="338"/>
      <c r="AF80" s="338"/>
      <c r="AG80" s="338"/>
      <c r="AH80" s="338"/>
      <c r="AI80" s="338"/>
      <c r="AJ80" s="338"/>
      <c r="AK80" s="338"/>
      <c r="AT80" s="338"/>
      <c r="AU80" s="2631"/>
      <c r="AV80" s="338"/>
      <c r="AW80" s="338"/>
      <c r="AX80" s="338"/>
      <c r="AY80" s="338"/>
      <c r="AZ80" s="338"/>
      <c r="BA80" s="338"/>
      <c r="BB80" s="338"/>
      <c r="BC80" s="338"/>
      <c r="BD80" s="338"/>
      <c r="BE80" s="338"/>
      <c r="BF80" s="338"/>
      <c r="BG80" s="2420"/>
      <c r="BH80" s="2420"/>
      <c r="BI80" s="2420"/>
      <c r="BJ80" s="2420"/>
      <c r="BK80" s="2420"/>
      <c r="BL80" s="2420"/>
      <c r="BM80" s="2420"/>
      <c r="BN80" s="2420"/>
      <c r="BO80" s="2420"/>
      <c r="BP80" s="2420"/>
      <c r="BQ80" s="2420"/>
      <c r="BR80" s="2420"/>
      <c r="BS80" s="2420"/>
      <c r="BT80" s="2420"/>
      <c r="BU80" s="2556"/>
      <c r="BV80" s="2556"/>
      <c r="BW80" s="2420"/>
    </row>
    <row r="81" spans="1:75" ht="20.25" hidden="1" customHeight="1">
      <c r="A81" s="338"/>
      <c r="C81" s="338"/>
      <c r="D81" s="338"/>
      <c r="E81" s="338"/>
      <c r="F81" s="338"/>
      <c r="G81" s="338"/>
      <c r="H81" s="338"/>
      <c r="I81" s="338"/>
      <c r="J81" s="338"/>
      <c r="K81" s="338"/>
      <c r="L81" s="338"/>
      <c r="M81" s="338"/>
      <c r="N81" s="2392"/>
      <c r="O81" s="338"/>
      <c r="R81" s="338"/>
      <c r="S81" s="338"/>
      <c r="T81" s="338"/>
      <c r="U81" s="338"/>
      <c r="V81" s="338"/>
      <c r="W81" s="2631"/>
      <c r="X81" s="338"/>
      <c r="Y81" s="338"/>
      <c r="Z81" s="338"/>
      <c r="AA81" s="338"/>
      <c r="AB81" s="338"/>
      <c r="AC81" s="338"/>
      <c r="AD81" s="338"/>
      <c r="AE81" s="338"/>
      <c r="AF81" s="338"/>
      <c r="AG81" s="338"/>
      <c r="AH81" s="338"/>
      <c r="AI81" s="338"/>
      <c r="AJ81" s="338"/>
      <c r="AK81" s="338"/>
      <c r="AT81" s="338"/>
      <c r="AU81" s="2631"/>
      <c r="AV81" s="338"/>
      <c r="AW81" s="338"/>
      <c r="AX81" s="338"/>
      <c r="AY81" s="338"/>
      <c r="AZ81" s="338"/>
      <c r="BA81" s="338"/>
      <c r="BB81" s="338"/>
      <c r="BC81" s="338"/>
      <c r="BD81" s="338"/>
      <c r="BE81" s="338"/>
      <c r="BF81" s="338"/>
      <c r="BG81" s="2420"/>
      <c r="BH81" s="2420"/>
      <c r="BI81" s="2420"/>
      <c r="BJ81" s="2420"/>
      <c r="BK81" s="2420"/>
      <c r="BL81" s="2420"/>
      <c r="BM81" s="2420"/>
      <c r="BN81" s="2420"/>
      <c r="BO81" s="2420"/>
      <c r="BP81" s="2420"/>
      <c r="BQ81" s="2420"/>
      <c r="BR81" s="2420"/>
      <c r="BS81" s="2420"/>
      <c r="BT81" s="2420"/>
      <c r="BU81" s="2556"/>
      <c r="BV81" s="2556"/>
      <c r="BW81" s="2420"/>
    </row>
    <row r="82" spans="1:75" ht="24.75" hidden="1" customHeight="1" thickBot="1">
      <c r="A82" s="544"/>
      <c r="C82" s="545"/>
      <c r="D82" s="545"/>
      <c r="E82" s="545"/>
      <c r="F82" s="545"/>
      <c r="G82" s="545"/>
      <c r="H82" s="545"/>
      <c r="I82" s="545"/>
      <c r="J82" s="545"/>
      <c r="K82" s="545"/>
      <c r="L82" s="545"/>
      <c r="M82" s="545"/>
      <c r="N82" s="2393"/>
      <c r="O82" s="545"/>
      <c r="R82" s="545"/>
      <c r="S82" s="545"/>
      <c r="T82" s="545"/>
      <c r="U82" s="545"/>
      <c r="V82" s="545"/>
      <c r="W82" s="2633"/>
      <c r="X82" s="545"/>
      <c r="Y82" s="545"/>
      <c r="Z82" s="545"/>
      <c r="AA82" s="545"/>
      <c r="AB82" s="545"/>
      <c r="AC82" s="545"/>
      <c r="AD82" s="545"/>
      <c r="AE82" s="545"/>
      <c r="AF82" s="545"/>
      <c r="AG82" s="545"/>
      <c r="AH82" s="545"/>
      <c r="AI82" s="545"/>
      <c r="AJ82" s="545"/>
      <c r="AK82" s="545"/>
      <c r="AT82" s="545"/>
      <c r="AU82" s="2633"/>
      <c r="AV82" s="545"/>
      <c r="AW82" s="545"/>
      <c r="AX82" s="545"/>
      <c r="AY82" s="545"/>
      <c r="AZ82" s="545"/>
      <c r="BA82" s="545"/>
      <c r="BB82" s="545"/>
      <c r="BC82" s="545"/>
      <c r="BD82" s="545"/>
      <c r="BE82" s="545"/>
      <c r="BF82" s="545"/>
      <c r="BG82" s="2556"/>
      <c r="BH82" s="2556"/>
      <c r="BI82" s="2556"/>
      <c r="BJ82" s="2556"/>
      <c r="BK82" s="2556"/>
      <c r="BL82" s="2556"/>
      <c r="BS82" s="2556"/>
      <c r="BT82" s="2556"/>
      <c r="BU82" s="2556"/>
      <c r="BV82" s="2556"/>
      <c r="BW82" s="2420"/>
    </row>
    <row r="83" spans="1:75" ht="70.5" hidden="1" customHeight="1" thickTop="1" thickBot="1">
      <c r="A83" s="1935" t="s">
        <v>260</v>
      </c>
      <c r="C83" s="2539"/>
      <c r="D83" s="2342"/>
      <c r="E83" s="2539"/>
      <c r="F83" s="1559"/>
      <c r="G83" s="1559"/>
      <c r="H83" s="1559"/>
      <c r="I83" s="1559"/>
      <c r="J83" s="1559"/>
      <c r="K83" s="1559"/>
      <c r="L83" s="1559"/>
      <c r="M83" s="1559"/>
      <c r="N83" s="2382"/>
      <c r="O83" s="1559"/>
      <c r="R83" s="1559"/>
      <c r="S83" s="1559"/>
      <c r="T83" s="1559"/>
      <c r="U83" s="1559"/>
      <c r="V83" s="1559"/>
      <c r="W83" s="2634"/>
      <c r="X83" s="1559"/>
      <c r="Y83" s="1559"/>
      <c r="Z83" s="1559"/>
      <c r="AA83" s="1559"/>
      <c r="AB83" s="1559"/>
      <c r="AC83" s="1559"/>
      <c r="AD83" s="1559"/>
      <c r="AE83" s="1559"/>
      <c r="AF83" s="1559"/>
      <c r="AG83" s="1559"/>
      <c r="AH83" s="1559"/>
      <c r="AI83" s="1559"/>
      <c r="AJ83" s="1559"/>
      <c r="AK83" s="1559"/>
      <c r="AT83" s="1559"/>
      <c r="AU83" s="2634"/>
      <c r="AV83" s="1559"/>
      <c r="AW83" s="1559"/>
      <c r="AX83" s="1559"/>
      <c r="AY83" s="1559"/>
      <c r="AZ83" s="1559"/>
      <c r="BA83" s="1559"/>
      <c r="BB83" s="1559"/>
      <c r="BC83" s="1559"/>
      <c r="BD83" s="1559"/>
      <c r="BE83" s="1559"/>
      <c r="BF83" s="1559"/>
      <c r="BG83" s="2556"/>
      <c r="BH83" s="2556"/>
      <c r="BI83" s="2556"/>
      <c r="BJ83" s="2556"/>
      <c r="BK83" s="2556"/>
      <c r="BL83" s="2556"/>
      <c r="BS83" s="2556"/>
      <c r="BT83" s="2556"/>
      <c r="BU83" s="2556"/>
      <c r="BV83" s="2556"/>
      <c r="BW83" s="2420"/>
    </row>
    <row r="84" spans="1:75" s="450" customFormat="1" ht="17.25" hidden="1" thickTop="1">
      <c r="A84" s="547" t="s">
        <v>129</v>
      </c>
      <c r="C84" s="1560"/>
      <c r="D84" s="2342"/>
      <c r="E84" s="1560"/>
      <c r="F84" s="1560"/>
      <c r="G84" s="1560"/>
      <c r="H84" s="1560"/>
      <c r="I84" s="1560"/>
      <c r="J84" s="1560"/>
      <c r="K84" s="1560"/>
      <c r="L84" s="1560"/>
      <c r="M84" s="1560"/>
      <c r="N84" s="2394"/>
      <c r="O84" s="1560"/>
      <c r="R84" s="1560"/>
      <c r="S84" s="1560"/>
      <c r="T84" s="1560"/>
      <c r="U84" s="1560"/>
      <c r="V84" s="1560"/>
      <c r="W84" s="2635"/>
      <c r="X84" s="1560"/>
      <c r="Y84" s="1560"/>
      <c r="Z84" s="1560"/>
      <c r="AA84" s="1560"/>
      <c r="AB84" s="1560"/>
      <c r="AC84" s="1560"/>
      <c r="AD84" s="1560"/>
      <c r="AE84" s="1560"/>
      <c r="AF84" s="1560"/>
      <c r="AG84" s="1560"/>
      <c r="AH84" s="1560"/>
      <c r="AI84" s="1560"/>
      <c r="AJ84" s="1560"/>
      <c r="AK84" s="1560"/>
      <c r="AT84" s="1560"/>
      <c r="AU84" s="2635"/>
      <c r="AV84" s="1560"/>
      <c r="AW84" s="1560"/>
      <c r="AX84" s="1560"/>
      <c r="AY84" s="1560"/>
      <c r="AZ84" s="1560"/>
      <c r="BA84" s="1560"/>
      <c r="BB84" s="1560"/>
      <c r="BC84" s="1560"/>
      <c r="BD84" s="1560"/>
      <c r="BE84" s="1560"/>
      <c r="BF84" s="1177"/>
      <c r="BU84" s="436"/>
      <c r="BV84" s="436"/>
    </row>
    <row r="85" spans="1:75" s="450" customFormat="1" hidden="1">
      <c r="A85" s="549" t="s">
        <v>481</v>
      </c>
      <c r="C85" s="1560"/>
      <c r="D85" s="2342"/>
      <c r="E85" s="1560"/>
      <c r="F85" s="1560"/>
      <c r="G85" s="1560"/>
      <c r="H85" s="1560"/>
      <c r="I85" s="1560"/>
      <c r="J85" s="1560"/>
      <c r="K85" s="1560"/>
      <c r="L85" s="1560"/>
      <c r="M85" s="1560"/>
      <c r="N85" s="2394"/>
      <c r="O85" s="1560"/>
      <c r="R85" s="1560"/>
      <c r="S85" s="1560"/>
      <c r="T85" s="1560"/>
      <c r="U85" s="1560"/>
      <c r="V85" s="1560"/>
      <c r="W85" s="2635"/>
      <c r="X85" s="1560"/>
      <c r="Y85" s="1560"/>
      <c r="Z85" s="1560"/>
      <c r="AA85" s="1560"/>
      <c r="AB85" s="1560"/>
      <c r="AC85" s="1560"/>
      <c r="AD85" s="1560"/>
      <c r="AE85" s="1560"/>
      <c r="AF85" s="1560"/>
      <c r="AG85" s="1560"/>
      <c r="AH85" s="1560"/>
      <c r="AI85" s="1560"/>
      <c r="AJ85" s="1560"/>
      <c r="AK85" s="1560"/>
      <c r="AL85" s="1560"/>
      <c r="AM85" s="1560"/>
      <c r="AN85" s="1560"/>
      <c r="AO85" s="1560"/>
      <c r="AP85" s="1560"/>
      <c r="AQ85" s="1560"/>
      <c r="AR85" s="1560"/>
      <c r="AS85" s="1560"/>
      <c r="AT85" s="1560"/>
      <c r="AU85" s="2635"/>
      <c r="AV85" s="1560"/>
      <c r="AW85" s="1560"/>
      <c r="AX85" s="1560"/>
      <c r="AY85" s="1560"/>
      <c r="AZ85" s="1560"/>
      <c r="BA85" s="1560"/>
      <c r="BB85" s="1560"/>
      <c r="BC85" s="1560"/>
      <c r="BD85" s="1560"/>
      <c r="BE85" s="1560"/>
      <c r="BF85" s="1177"/>
      <c r="BU85" s="436"/>
      <c r="BV85" s="436"/>
    </row>
    <row r="86" spans="1:75" s="368" customFormat="1" hidden="1">
      <c r="A86" s="549" t="s">
        <v>130</v>
      </c>
      <c r="C86" s="1560"/>
      <c r="D86" s="2342"/>
      <c r="E86" s="1560"/>
      <c r="F86" s="1560"/>
      <c r="G86" s="1560"/>
      <c r="H86" s="1560"/>
      <c r="I86" s="1560"/>
      <c r="J86" s="1560"/>
      <c r="K86" s="1560"/>
      <c r="L86" s="1560"/>
      <c r="M86" s="1560"/>
      <c r="N86" s="2394"/>
      <c r="O86" s="1560"/>
      <c r="R86" s="1560"/>
      <c r="S86" s="1560"/>
      <c r="T86" s="1560"/>
      <c r="U86" s="1560"/>
      <c r="V86" s="1560"/>
      <c r="W86" s="2635"/>
      <c r="X86" s="1560"/>
      <c r="Y86" s="1560"/>
      <c r="Z86" s="1560"/>
      <c r="AA86" s="1560"/>
      <c r="AB86" s="1560"/>
      <c r="AC86" s="1560"/>
      <c r="AD86" s="1560"/>
      <c r="AE86" s="1560"/>
      <c r="AF86" s="1560"/>
      <c r="AG86" s="1560"/>
      <c r="AH86" s="1560"/>
      <c r="AI86" s="1560"/>
      <c r="AJ86" s="1560"/>
      <c r="AK86" s="1560"/>
      <c r="AL86" s="1560"/>
      <c r="AM86" s="1560"/>
      <c r="AN86" s="1560"/>
      <c r="AO86" s="1560"/>
      <c r="AP86" s="1560"/>
      <c r="AQ86" s="1560"/>
      <c r="AR86" s="1560"/>
      <c r="AS86" s="1560"/>
      <c r="AT86" s="1560"/>
      <c r="AU86" s="2635"/>
      <c r="AV86" s="1560"/>
      <c r="AW86" s="1560"/>
      <c r="AX86" s="1560"/>
      <c r="AY86" s="1560"/>
      <c r="AZ86" s="1560"/>
      <c r="BA86" s="1560"/>
      <c r="BB86" s="1560"/>
      <c r="BC86" s="1560"/>
      <c r="BD86" s="1560"/>
      <c r="BE86" s="1560"/>
      <c r="BF86" s="1177"/>
      <c r="BG86" s="2405"/>
      <c r="BH86" s="2405"/>
      <c r="BI86" s="2405"/>
      <c r="BJ86" s="2405"/>
      <c r="BK86" s="2405"/>
      <c r="BL86" s="2405"/>
      <c r="BM86" s="2405"/>
      <c r="BN86" s="2405"/>
      <c r="BO86" s="2405"/>
      <c r="BP86" s="2405"/>
      <c r="BQ86" s="2405"/>
      <c r="BR86" s="2405"/>
      <c r="BS86" s="2405"/>
      <c r="BT86" s="2405"/>
      <c r="BU86" s="1219"/>
      <c r="BV86" s="1219"/>
      <c r="BW86" s="2405"/>
    </row>
    <row r="87" spans="1:75" s="368" customFormat="1" hidden="1">
      <c r="A87" s="1183" t="s">
        <v>460</v>
      </c>
      <c r="C87" s="1560"/>
      <c r="D87" s="2342"/>
      <c r="E87" s="1560"/>
      <c r="F87" s="1560"/>
      <c r="G87" s="1560"/>
      <c r="H87" s="1560"/>
      <c r="I87" s="1560"/>
      <c r="J87" s="1560"/>
      <c r="K87" s="1560"/>
      <c r="L87" s="1560"/>
      <c r="M87" s="1560"/>
      <c r="N87" s="2394"/>
      <c r="O87" s="1560"/>
      <c r="R87" s="1560"/>
      <c r="S87" s="1560"/>
      <c r="T87" s="1560"/>
      <c r="U87" s="1560"/>
      <c r="V87" s="1560"/>
      <c r="W87" s="2635"/>
      <c r="X87" s="1560"/>
      <c r="Y87" s="1560"/>
      <c r="Z87" s="1560"/>
      <c r="AA87" s="1560"/>
      <c r="AB87" s="1560"/>
      <c r="AC87" s="1560"/>
      <c r="AD87" s="1560"/>
      <c r="AE87" s="1560"/>
      <c r="AF87" s="1560"/>
      <c r="AG87" s="1560"/>
      <c r="AH87" s="1560"/>
      <c r="AI87" s="1560"/>
      <c r="AJ87" s="1560"/>
      <c r="AK87" s="1560"/>
      <c r="AL87" s="1560"/>
      <c r="AM87" s="1560"/>
      <c r="AN87" s="1560"/>
      <c r="AO87" s="1560"/>
      <c r="AP87" s="1560"/>
      <c r="AQ87" s="1560"/>
      <c r="AR87" s="1560"/>
      <c r="AS87" s="1560"/>
      <c r="AT87" s="1560"/>
      <c r="AU87" s="2635"/>
      <c r="AV87" s="1560"/>
      <c r="AW87" s="1560"/>
      <c r="AX87" s="1560"/>
      <c r="AY87" s="1560"/>
      <c r="AZ87" s="1560"/>
      <c r="BA87" s="1560"/>
      <c r="BB87" s="1560"/>
      <c r="BC87" s="1560"/>
      <c r="BD87" s="1560"/>
      <c r="BE87" s="1560"/>
      <c r="BF87" s="1177"/>
      <c r="BG87" s="2405"/>
      <c r="BH87" s="2405"/>
      <c r="BI87" s="2405"/>
      <c r="BJ87" s="2405"/>
      <c r="BK87" s="2405"/>
      <c r="BL87" s="2405"/>
      <c r="BM87" s="2405"/>
      <c r="BN87" s="2405"/>
      <c r="BO87" s="2405"/>
      <c r="BP87" s="2405"/>
      <c r="BQ87" s="2405"/>
      <c r="BR87" s="2405"/>
      <c r="BS87" s="2405"/>
      <c r="BT87" s="2405"/>
      <c r="BU87" s="1219"/>
      <c r="BV87" s="1219"/>
      <c r="BW87" s="2405"/>
    </row>
    <row r="88" spans="1:75" hidden="1">
      <c r="A88" s="553" t="s">
        <v>476</v>
      </c>
      <c r="C88" s="1560"/>
      <c r="D88" s="2342"/>
      <c r="E88" s="1560"/>
      <c r="F88" s="1560"/>
      <c r="G88" s="1560"/>
      <c r="H88" s="1560"/>
      <c r="I88" s="1560"/>
      <c r="J88" s="1560"/>
      <c r="K88" s="1560"/>
      <c r="L88" s="1560"/>
      <c r="M88" s="1560"/>
      <c r="N88" s="2394"/>
      <c r="O88" s="1560"/>
      <c r="R88" s="1560"/>
      <c r="S88" s="1560"/>
      <c r="T88" s="1560"/>
      <c r="U88" s="1560"/>
      <c r="V88" s="1560"/>
      <c r="W88" s="2635"/>
      <c r="X88" s="1560"/>
      <c r="Y88" s="1560"/>
      <c r="Z88" s="1560"/>
      <c r="AA88" s="1560"/>
      <c r="AB88" s="1560"/>
      <c r="AC88" s="1560"/>
      <c r="AD88" s="1560"/>
      <c r="AE88" s="1560"/>
      <c r="AF88" s="1560"/>
      <c r="AG88" s="1560"/>
      <c r="AH88" s="1560"/>
      <c r="AI88" s="1560"/>
      <c r="AJ88" s="1560"/>
      <c r="AK88" s="1560"/>
      <c r="AL88" s="1560"/>
      <c r="AM88" s="1560"/>
      <c r="AN88" s="1560"/>
      <c r="AO88" s="1560"/>
      <c r="AP88" s="1560"/>
      <c r="AQ88" s="1560"/>
      <c r="AR88" s="1560"/>
      <c r="AS88" s="1560"/>
      <c r="AT88" s="1560"/>
      <c r="AU88" s="2635"/>
      <c r="AV88" s="1560"/>
      <c r="AW88" s="1560"/>
      <c r="AX88" s="1560"/>
      <c r="AY88" s="1560"/>
      <c r="AZ88" s="1560"/>
      <c r="BA88" s="1560"/>
      <c r="BB88" s="1560"/>
      <c r="BC88" s="1560"/>
      <c r="BD88" s="1560"/>
      <c r="BE88" s="1560"/>
      <c r="BF88" s="1177"/>
      <c r="BG88" s="2556"/>
      <c r="BH88" s="2556"/>
      <c r="BI88" s="2556"/>
      <c r="BJ88" s="2556"/>
      <c r="BK88" s="2556"/>
      <c r="BL88" s="2556"/>
      <c r="BS88" s="2556"/>
      <c r="BT88" s="2556"/>
      <c r="BU88" s="2556"/>
      <c r="BV88" s="2556"/>
      <c r="BW88" s="2420"/>
    </row>
    <row r="89" spans="1:75" ht="17.25" hidden="1" thickBot="1">
      <c r="A89" s="553" t="s">
        <v>474</v>
      </c>
      <c r="C89" s="1560"/>
      <c r="D89" s="2342"/>
      <c r="E89" s="1560"/>
      <c r="F89" s="1560"/>
      <c r="G89" s="1560"/>
      <c r="H89" s="1560"/>
      <c r="I89" s="1560"/>
      <c r="J89" s="1560"/>
      <c r="K89" s="1560"/>
      <c r="L89" s="1560"/>
      <c r="M89" s="1560"/>
      <c r="N89" s="2394"/>
      <c r="O89" s="1560"/>
      <c r="R89" s="1560"/>
      <c r="S89" s="1560"/>
      <c r="T89" s="1560"/>
      <c r="U89" s="1560"/>
      <c r="V89" s="1560"/>
      <c r="W89" s="2635"/>
      <c r="X89" s="1560"/>
      <c r="Y89" s="1560"/>
      <c r="Z89" s="1560"/>
      <c r="AA89" s="1560"/>
      <c r="AB89" s="1560"/>
      <c r="AC89" s="1560"/>
      <c r="AD89" s="1560"/>
      <c r="AE89" s="1560"/>
      <c r="AF89" s="1560"/>
      <c r="AG89" s="1560"/>
      <c r="AH89" s="1560"/>
      <c r="AI89" s="1560"/>
      <c r="AJ89" s="1560"/>
      <c r="AK89" s="1560"/>
      <c r="AL89" s="1560"/>
      <c r="AM89" s="1560"/>
      <c r="AN89" s="1560"/>
      <c r="AO89" s="1560"/>
      <c r="AP89" s="1560"/>
      <c r="AQ89" s="1560"/>
      <c r="AR89" s="1560"/>
      <c r="AS89" s="1560"/>
      <c r="AT89" s="1560"/>
      <c r="AU89" s="2635"/>
      <c r="AV89" s="1560"/>
      <c r="AW89" s="1560"/>
      <c r="AX89" s="1560"/>
      <c r="AY89" s="1560"/>
      <c r="AZ89" s="1560"/>
      <c r="BA89" s="1560"/>
      <c r="BB89" s="1560"/>
      <c r="BC89" s="1560"/>
      <c r="BD89" s="1560"/>
      <c r="BE89" s="1560"/>
      <c r="BF89" s="1177"/>
      <c r="BG89" s="2556"/>
      <c r="BH89" s="2556"/>
      <c r="BI89" s="2556"/>
      <c r="BJ89" s="2556"/>
      <c r="BK89" s="2556"/>
      <c r="BL89" s="2556"/>
      <c r="BS89" s="2556"/>
      <c r="BT89" s="2556"/>
      <c r="BU89" s="2556"/>
      <c r="BV89" s="2556"/>
      <c r="BW89" s="2420"/>
    </row>
    <row r="90" spans="1:75" ht="18" hidden="1" thickTop="1" thickBot="1">
      <c r="A90" s="576" t="s">
        <v>477</v>
      </c>
      <c r="C90" s="1164"/>
      <c r="D90" s="2156"/>
      <c r="E90" s="1164"/>
      <c r="F90" s="1164"/>
      <c r="G90" s="1164"/>
      <c r="H90" s="1164"/>
      <c r="I90" s="1164"/>
      <c r="J90" s="1164"/>
      <c r="K90" s="1164"/>
      <c r="L90" s="1164"/>
      <c r="M90" s="1164"/>
      <c r="N90" s="2387"/>
      <c r="O90" s="1164"/>
      <c r="R90" s="1164"/>
      <c r="S90" s="1164"/>
      <c r="T90" s="1164"/>
      <c r="U90" s="1164"/>
      <c r="V90" s="1164"/>
      <c r="W90" s="2219"/>
      <c r="X90" s="1164"/>
      <c r="Y90" s="1164"/>
      <c r="Z90" s="1164"/>
      <c r="AA90" s="1164"/>
      <c r="AB90" s="1164"/>
      <c r="AC90" s="1164"/>
      <c r="AD90" s="1164"/>
      <c r="AE90" s="1164"/>
      <c r="AF90" s="1164"/>
      <c r="AG90" s="1164"/>
      <c r="AH90" s="1164"/>
      <c r="AI90" s="1164"/>
      <c r="AJ90" s="1164"/>
      <c r="AK90" s="1164"/>
      <c r="AL90" s="1164"/>
      <c r="AM90" s="1164"/>
      <c r="AN90" s="1164"/>
      <c r="AO90" s="1164"/>
      <c r="AP90" s="1164"/>
      <c r="AQ90" s="1164"/>
      <c r="AR90" s="1164"/>
      <c r="AS90" s="1164"/>
      <c r="AT90" s="1164"/>
      <c r="AU90" s="2219"/>
      <c r="AV90" s="1164"/>
      <c r="AW90" s="1164"/>
      <c r="AX90" s="1164"/>
      <c r="AY90" s="1164"/>
      <c r="AZ90" s="1164"/>
      <c r="BA90" s="1164"/>
      <c r="BB90" s="1164"/>
      <c r="BC90" s="1164"/>
      <c r="BD90" s="1164"/>
      <c r="BE90" s="1164"/>
      <c r="BF90" s="1164"/>
      <c r="BG90" s="2556"/>
      <c r="BH90" s="2556"/>
      <c r="BI90" s="2556"/>
      <c r="BJ90" s="2556"/>
      <c r="BK90" s="2556"/>
      <c r="BL90" s="2556"/>
      <c r="BS90" s="2556"/>
      <c r="BT90" s="2556"/>
      <c r="BU90" s="2556"/>
      <c r="BV90" s="2556"/>
      <c r="BW90" s="2420"/>
    </row>
    <row r="91" spans="1:75" ht="17.25" hidden="1" thickTop="1">
      <c r="A91" s="1488" t="s">
        <v>480</v>
      </c>
      <c r="C91" s="1561"/>
      <c r="D91" s="2540"/>
      <c r="E91" s="1561"/>
      <c r="F91" s="1561"/>
      <c r="G91" s="1561"/>
      <c r="H91" s="1561"/>
      <c r="I91" s="1561"/>
      <c r="J91" s="1561"/>
      <c r="K91" s="1561"/>
      <c r="L91" s="1561"/>
      <c r="M91" s="1561"/>
      <c r="N91" s="2395"/>
      <c r="O91" s="1561"/>
      <c r="R91" s="1561"/>
      <c r="S91" s="1561"/>
      <c r="T91" s="1561"/>
      <c r="U91" s="1561"/>
      <c r="V91" s="1561"/>
      <c r="W91" s="2636"/>
      <c r="X91" s="1561"/>
      <c r="Y91" s="1561"/>
      <c r="Z91" s="1561"/>
      <c r="AA91" s="1561"/>
      <c r="AB91" s="1561"/>
      <c r="AC91" s="1561"/>
      <c r="AD91" s="1561"/>
      <c r="AE91" s="1561"/>
      <c r="AF91" s="1561"/>
      <c r="AG91" s="1561"/>
      <c r="AH91" s="1561"/>
      <c r="AI91" s="1561"/>
      <c r="AJ91" s="1561"/>
      <c r="AK91" s="1561"/>
      <c r="AL91" s="1561"/>
      <c r="AM91" s="1561"/>
      <c r="AN91" s="1561"/>
      <c r="AO91" s="1561"/>
      <c r="AP91" s="1561"/>
      <c r="AQ91" s="1561"/>
      <c r="AR91" s="1561"/>
      <c r="AS91" s="1561"/>
      <c r="AT91" s="1561"/>
      <c r="AU91" s="2636"/>
      <c r="AV91" s="1561"/>
      <c r="AW91" s="1561"/>
      <c r="AX91" s="1561"/>
      <c r="AY91" s="1561"/>
      <c r="AZ91" s="1561"/>
      <c r="BA91" s="1561"/>
      <c r="BB91" s="1561"/>
      <c r="BC91" s="1561"/>
      <c r="BD91" s="1561"/>
      <c r="BE91" s="1561"/>
      <c r="BF91" s="1483"/>
      <c r="BG91" s="2556"/>
      <c r="BH91" s="2556"/>
      <c r="BI91" s="2556"/>
      <c r="BJ91" s="2556"/>
      <c r="BK91" s="2556"/>
      <c r="BL91" s="2556"/>
      <c r="BS91" s="2556"/>
      <c r="BT91" s="2556"/>
      <c r="BU91" s="2556"/>
      <c r="BV91" s="2556"/>
      <c r="BW91" s="2420"/>
    </row>
    <row r="92" spans="1:75" ht="17.25" hidden="1" thickBot="1">
      <c r="A92" s="1487" t="s">
        <v>606</v>
      </c>
      <c r="C92" s="2420"/>
      <c r="D92" s="2420"/>
      <c r="E92" s="1519"/>
      <c r="F92" s="1519"/>
      <c r="G92" s="1519"/>
      <c r="H92" s="1519"/>
      <c r="I92" s="1519"/>
      <c r="J92" s="1519"/>
      <c r="K92" s="1519"/>
      <c r="L92" s="1519"/>
      <c r="M92" s="1519"/>
      <c r="N92" s="2396"/>
      <c r="O92" s="1519"/>
      <c r="R92" s="1519"/>
      <c r="S92" s="1519"/>
      <c r="T92" s="1519"/>
      <c r="U92" s="1519"/>
      <c r="V92" s="1519"/>
      <c r="W92" s="2637"/>
      <c r="X92" s="1519"/>
      <c r="Y92" s="1519"/>
      <c r="Z92" s="1519"/>
      <c r="AA92" s="1519"/>
      <c r="AB92" s="1519"/>
      <c r="AC92" s="1519"/>
      <c r="AD92" s="1519"/>
      <c r="AE92" s="1519"/>
      <c r="AF92" s="1519"/>
      <c r="AG92" s="1519"/>
      <c r="AH92" s="1519"/>
      <c r="AI92" s="1519"/>
      <c r="AJ92" s="1519"/>
      <c r="AK92" s="1519"/>
      <c r="AL92" s="1519"/>
      <c r="AM92" s="1519"/>
      <c r="AN92" s="1519"/>
      <c r="AO92" s="1519"/>
      <c r="AP92" s="1519"/>
      <c r="AQ92" s="1519"/>
      <c r="AR92" s="1519"/>
      <c r="AS92" s="1519"/>
      <c r="AT92" s="1519"/>
      <c r="AU92" s="2637"/>
      <c r="AV92" s="1519"/>
      <c r="AW92" s="1519"/>
      <c r="AX92" s="1519"/>
      <c r="AY92" s="1519"/>
      <c r="AZ92" s="1519"/>
      <c r="BA92" s="1519"/>
      <c r="BB92" s="1519"/>
      <c r="BC92" s="1519"/>
      <c r="BD92" s="1519"/>
      <c r="BE92" s="1519"/>
      <c r="BF92" s="1483"/>
      <c r="BG92" s="2556"/>
      <c r="BH92" s="2556"/>
      <c r="BI92" s="2556"/>
      <c r="BJ92" s="2556"/>
      <c r="BK92" s="2556"/>
      <c r="BL92" s="2556"/>
      <c r="BS92" s="2556"/>
      <c r="BT92" s="2556"/>
      <c r="BU92" s="2556"/>
      <c r="BV92" s="2556"/>
      <c r="BW92" s="2420"/>
    </row>
    <row r="93" spans="1:75" ht="12" hidden="1" customHeight="1" thickTop="1" thickBot="1">
      <c r="A93" s="1184"/>
      <c r="C93" s="1177"/>
      <c r="D93" s="1177"/>
      <c r="E93" s="1177"/>
      <c r="F93" s="1177"/>
      <c r="G93" s="1177"/>
      <c r="H93" s="1177"/>
      <c r="I93" s="1177"/>
      <c r="J93" s="1177"/>
      <c r="K93" s="1177"/>
      <c r="L93" s="1177"/>
      <c r="M93" s="1177"/>
      <c r="N93" s="2397"/>
      <c r="O93" s="1177"/>
      <c r="R93" s="1177"/>
      <c r="S93" s="1177"/>
      <c r="T93" s="1177"/>
      <c r="U93" s="1177"/>
      <c r="V93" s="1177"/>
      <c r="W93" s="2638"/>
      <c r="X93" s="1177"/>
      <c r="Y93" s="1177"/>
      <c r="Z93" s="1177"/>
      <c r="AA93" s="1177"/>
      <c r="AB93" s="1177"/>
      <c r="AC93" s="1177"/>
      <c r="AD93" s="1177"/>
      <c r="AE93" s="1177"/>
      <c r="AF93" s="1177"/>
      <c r="AG93" s="1177"/>
      <c r="AH93" s="1177"/>
      <c r="AI93" s="1177"/>
      <c r="AJ93" s="1177"/>
      <c r="AK93" s="1177"/>
      <c r="AL93" s="1177"/>
      <c r="AM93" s="1177"/>
      <c r="AN93" s="1177"/>
      <c r="AO93" s="1177"/>
      <c r="AP93" s="1177"/>
      <c r="AQ93" s="1177"/>
      <c r="AR93" s="1177"/>
      <c r="AS93" s="1177"/>
      <c r="AT93" s="1177"/>
      <c r="AU93" s="2638"/>
      <c r="AV93" s="1177"/>
      <c r="AW93" s="1177"/>
      <c r="AX93" s="1177"/>
      <c r="AY93" s="1177"/>
      <c r="AZ93" s="1177"/>
      <c r="BA93" s="1177"/>
      <c r="BB93" s="1177"/>
      <c r="BC93" s="1177"/>
      <c r="BD93" s="1177"/>
      <c r="BE93" s="1177"/>
      <c r="BF93" s="1177"/>
      <c r="BG93" s="2556"/>
      <c r="BH93" s="2556"/>
      <c r="BI93" s="2556"/>
      <c r="BJ93" s="2556"/>
      <c r="BK93" s="2556"/>
      <c r="BL93" s="2556"/>
      <c r="BS93" s="2556"/>
      <c r="BT93" s="2556"/>
      <c r="BU93" s="2556"/>
      <c r="BV93" s="2556"/>
      <c r="BW93" s="2420"/>
    </row>
    <row r="94" spans="1:75" ht="18" hidden="1" thickTop="1" thickBot="1">
      <c r="A94" s="554" t="s">
        <v>593</v>
      </c>
      <c r="C94" s="2420"/>
      <c r="D94" s="1125"/>
      <c r="E94" s="1483"/>
      <c r="F94" s="1483"/>
      <c r="G94" s="1483"/>
      <c r="H94" s="1483"/>
      <c r="I94" s="1483"/>
      <c r="J94" s="1483"/>
      <c r="K94" s="1483"/>
      <c r="L94" s="1483"/>
      <c r="M94" s="1483"/>
      <c r="N94" s="2398"/>
      <c r="O94" s="1483"/>
      <c r="R94" s="1483"/>
      <c r="S94" s="1483"/>
      <c r="T94" s="1483"/>
      <c r="U94" s="1483"/>
      <c r="V94" s="1483"/>
      <c r="W94" s="2639"/>
      <c r="X94" s="1483"/>
      <c r="Y94" s="1483"/>
      <c r="Z94" s="1483"/>
      <c r="AA94" s="1483"/>
      <c r="AB94" s="1483"/>
      <c r="AC94" s="1483"/>
      <c r="AD94" s="1483"/>
      <c r="AE94" s="1483"/>
      <c r="AF94" s="1483"/>
      <c r="AG94" s="1483"/>
      <c r="AH94" s="1483"/>
      <c r="AI94" s="1483"/>
      <c r="AJ94" s="1483"/>
      <c r="AK94" s="1483"/>
      <c r="AL94" s="1483"/>
      <c r="AM94" s="1483"/>
      <c r="AN94" s="1483"/>
      <c r="AO94" s="1483"/>
      <c r="AP94" s="1483"/>
      <c r="AQ94" s="1483"/>
      <c r="AR94" s="1483"/>
      <c r="AS94" s="1483"/>
      <c r="AT94" s="1483"/>
      <c r="AU94" s="2639"/>
      <c r="AV94" s="1483"/>
      <c r="AW94" s="1483"/>
      <c r="AX94" s="1483"/>
      <c r="AY94" s="1483"/>
      <c r="AZ94" s="1483"/>
      <c r="BA94" s="1483"/>
      <c r="BB94" s="1483"/>
      <c r="BC94" s="1483"/>
      <c r="BD94" s="1483"/>
      <c r="BE94" s="1483"/>
      <c r="BF94" s="1483"/>
      <c r="BG94" s="2556"/>
      <c r="BH94" s="2556"/>
      <c r="BI94" s="2556"/>
      <c r="BJ94" s="2556"/>
      <c r="BK94" s="2556"/>
      <c r="BL94" s="2556"/>
      <c r="BS94" s="2556"/>
      <c r="BT94" s="2556"/>
      <c r="BU94" s="2556"/>
      <c r="BV94" s="2556"/>
      <c r="BW94" s="2420"/>
    </row>
    <row r="95" spans="1:75" ht="17.25" hidden="1" thickTop="1">
      <c r="A95" s="404"/>
      <c r="C95" s="1177"/>
      <c r="D95" s="1177"/>
      <c r="E95" s="1177"/>
      <c r="F95" s="1177"/>
      <c r="G95" s="1177"/>
      <c r="H95" s="1177"/>
      <c r="I95" s="1177"/>
      <c r="J95" s="1177"/>
      <c r="K95" s="1177"/>
      <c r="L95" s="1177"/>
      <c r="M95" s="1177"/>
      <c r="N95" s="2397"/>
      <c r="O95" s="1177"/>
      <c r="R95" s="1177"/>
      <c r="S95" s="1177"/>
      <c r="T95" s="1177"/>
      <c r="U95" s="1177"/>
      <c r="V95" s="1177"/>
      <c r="W95" s="2638"/>
      <c r="X95" s="1177"/>
      <c r="Y95" s="1177"/>
      <c r="Z95" s="1177"/>
      <c r="AA95" s="1177"/>
      <c r="AB95" s="1177"/>
      <c r="AC95" s="1177"/>
      <c r="AD95" s="1177"/>
      <c r="AE95" s="1177"/>
      <c r="AF95" s="1177"/>
      <c r="AG95" s="1177"/>
      <c r="AH95" s="1177"/>
      <c r="AI95" s="1177"/>
      <c r="AJ95" s="1177"/>
      <c r="AK95" s="1177"/>
      <c r="AL95" s="1177"/>
      <c r="AM95" s="1177"/>
      <c r="AN95" s="1177"/>
      <c r="AO95" s="1177"/>
      <c r="AP95" s="1177"/>
      <c r="AQ95" s="1177"/>
      <c r="AR95" s="1177"/>
      <c r="AS95" s="1177"/>
      <c r="AT95" s="1177"/>
      <c r="AU95" s="2638"/>
      <c r="AV95" s="1177"/>
      <c r="AW95" s="1177"/>
      <c r="AX95" s="1177"/>
      <c r="AY95" s="1177"/>
      <c r="AZ95" s="1177"/>
      <c r="BA95" s="1177"/>
      <c r="BB95" s="1177"/>
      <c r="BC95" s="1177"/>
      <c r="BD95" s="1177"/>
      <c r="BE95" s="1177"/>
      <c r="BF95" s="1177"/>
      <c r="BG95" s="1177"/>
      <c r="BH95" s="1167"/>
      <c r="BI95" s="1167"/>
      <c r="BJ95" s="1177"/>
      <c r="BK95" s="1167"/>
      <c r="BL95" s="1167"/>
      <c r="BM95" s="1177"/>
      <c r="BN95" s="1167"/>
      <c r="BO95" s="1167"/>
      <c r="BP95" s="1177"/>
      <c r="BQ95" s="1167"/>
      <c r="BR95" s="1167"/>
      <c r="BS95" s="1177"/>
      <c r="BT95" s="1167"/>
      <c r="BU95" s="2556"/>
      <c r="BV95" s="2556"/>
      <c r="BW95" s="2420"/>
    </row>
    <row r="96" spans="1:75" s="368" customFormat="1" ht="18" hidden="1" customHeight="1">
      <c r="A96" s="1269" t="s">
        <v>496</v>
      </c>
      <c r="C96" s="2405"/>
      <c r="D96" s="2405"/>
      <c r="E96" s="2405"/>
      <c r="N96" s="2381"/>
      <c r="W96" s="2611"/>
      <c r="AU96" s="2611"/>
      <c r="BG96" s="1219"/>
      <c r="BH96" s="1219"/>
      <c r="BI96" s="1219"/>
      <c r="BJ96" s="1219"/>
      <c r="BK96" s="1219"/>
      <c r="BL96" s="1219"/>
      <c r="BM96" s="1219"/>
      <c r="BN96" s="1219"/>
      <c r="BO96" s="1219"/>
      <c r="BP96" s="1219"/>
      <c r="BQ96" s="1219"/>
      <c r="BR96" s="1219"/>
      <c r="BS96" s="1219"/>
      <c r="BT96" s="1219"/>
      <c r="BU96" s="1219"/>
      <c r="BV96" s="1219"/>
      <c r="BW96" s="2405"/>
    </row>
    <row r="97" spans="1:75" s="368" customFormat="1" ht="18" hidden="1" customHeight="1">
      <c r="C97" s="2405"/>
      <c r="D97" s="2405"/>
      <c r="E97" s="2405"/>
      <c r="N97" s="2381"/>
      <c r="W97" s="2611"/>
      <c r="AU97" s="2611"/>
      <c r="BG97" s="1219"/>
      <c r="BH97" s="1219"/>
      <c r="BI97" s="1219"/>
      <c r="BJ97" s="1219"/>
      <c r="BK97" s="1219"/>
      <c r="BL97" s="1219"/>
      <c r="BM97" s="1219"/>
      <c r="BN97" s="1219"/>
      <c r="BO97" s="1219"/>
      <c r="BP97" s="1219"/>
      <c r="BQ97" s="1219"/>
      <c r="BR97" s="1219"/>
      <c r="BS97" s="1219"/>
      <c r="BT97" s="1219"/>
      <c r="BU97" s="1219"/>
      <c r="BV97" s="1219"/>
      <c r="BW97" s="2405"/>
    </row>
    <row r="98" spans="1:75" s="368" customFormat="1" ht="18" hidden="1" customHeight="1">
      <c r="N98" s="2381"/>
      <c r="W98" s="2611"/>
      <c r="AU98" s="2611"/>
      <c r="BG98" s="1219"/>
      <c r="BH98" s="1219"/>
      <c r="BI98" s="1219"/>
      <c r="BJ98" s="1219"/>
      <c r="BK98" s="1219"/>
      <c r="BL98" s="1219"/>
      <c r="BM98" s="1219"/>
      <c r="BN98" s="1219"/>
      <c r="BO98" s="1219"/>
      <c r="BP98" s="1219"/>
      <c r="BQ98" s="1219"/>
      <c r="BR98" s="1219"/>
      <c r="BS98" s="1219"/>
      <c r="BT98" s="1219"/>
      <c r="BU98" s="1219"/>
      <c r="BV98" s="1219"/>
      <c r="BW98" s="2405"/>
    </row>
    <row r="99" spans="1:75" s="368" customFormat="1" ht="18" hidden="1" customHeight="1">
      <c r="N99" s="2381"/>
      <c r="W99" s="2611"/>
      <c r="AU99" s="2611"/>
      <c r="BG99" s="1219"/>
      <c r="BH99" s="1219"/>
      <c r="BI99" s="1219"/>
      <c r="BJ99" s="1219"/>
      <c r="BK99" s="1219"/>
      <c r="BL99" s="1219"/>
      <c r="BM99" s="1219"/>
      <c r="BN99" s="1219"/>
      <c r="BO99" s="1219"/>
      <c r="BP99" s="1219"/>
      <c r="BQ99" s="1219"/>
      <c r="BR99" s="1219"/>
      <c r="BS99" s="1219"/>
      <c r="BT99" s="1219"/>
      <c r="BU99" s="1219"/>
      <c r="BV99" s="1219"/>
      <c r="BW99" s="2405"/>
    </row>
    <row r="100" spans="1:75" s="368" customFormat="1" ht="16.5" hidden="1" customHeight="1">
      <c r="N100" s="2381"/>
      <c r="W100" s="2611"/>
      <c r="AU100" s="2611"/>
      <c r="BG100" s="1219"/>
      <c r="BH100" s="1219"/>
      <c r="BI100" s="1219"/>
      <c r="BJ100" s="1219"/>
      <c r="BK100" s="1219"/>
      <c r="BL100" s="1219"/>
      <c r="BM100" s="1219"/>
      <c r="BN100" s="1219"/>
      <c r="BO100" s="1219"/>
      <c r="BP100" s="1219"/>
      <c r="BQ100" s="1219"/>
      <c r="BR100" s="1219"/>
      <c r="BS100" s="1219"/>
      <c r="BT100" s="1219"/>
      <c r="BU100" s="1219"/>
      <c r="BV100" s="1219"/>
      <c r="BW100" s="2405"/>
    </row>
    <row r="101" spans="1:75" s="368" customFormat="1" ht="28.5" hidden="1" customHeight="1">
      <c r="A101" s="333" t="s">
        <v>192</v>
      </c>
      <c r="C101" s="333"/>
      <c r="D101" s="396"/>
      <c r="E101" s="396"/>
      <c r="F101" s="396"/>
      <c r="G101" s="396"/>
      <c r="H101" s="396"/>
      <c r="I101" s="396"/>
      <c r="J101" s="396"/>
      <c r="K101" s="396"/>
      <c r="L101" s="396"/>
      <c r="M101" s="396"/>
      <c r="N101" s="2380"/>
      <c r="O101" s="333"/>
      <c r="R101" s="333"/>
      <c r="S101" s="333"/>
      <c r="T101" s="333"/>
      <c r="U101" s="333"/>
      <c r="V101" s="333"/>
      <c r="W101" s="2628"/>
      <c r="X101" s="333"/>
      <c r="Y101" s="333"/>
      <c r="Z101" s="333"/>
      <c r="AA101" s="333"/>
      <c r="AB101" s="333"/>
      <c r="AC101" s="333"/>
      <c r="AD101" s="333"/>
      <c r="AE101" s="333"/>
      <c r="AF101" s="333"/>
      <c r="AG101" s="333"/>
      <c r="AH101" s="333"/>
      <c r="AI101" s="333"/>
      <c r="AJ101" s="333"/>
      <c r="AK101" s="333"/>
      <c r="AL101" s="333"/>
      <c r="AM101" s="333"/>
      <c r="AN101" s="333"/>
      <c r="AO101" s="333"/>
      <c r="AP101" s="333"/>
      <c r="AQ101" s="333"/>
      <c r="AR101" s="333"/>
      <c r="AS101" s="333"/>
      <c r="AT101" s="333"/>
      <c r="AU101" s="2628"/>
      <c r="AV101" s="333"/>
      <c r="AW101" s="333"/>
      <c r="AX101" s="333"/>
      <c r="AY101" s="333"/>
      <c r="AZ101" s="333"/>
      <c r="BA101" s="333"/>
      <c r="BB101" s="333"/>
      <c r="BC101" s="333"/>
      <c r="BD101" s="333"/>
      <c r="BE101" s="333"/>
      <c r="BG101" s="2405"/>
      <c r="BH101" s="2405"/>
      <c r="BI101" s="2405"/>
      <c r="BJ101" s="2405"/>
      <c r="BK101" s="2405"/>
      <c r="BL101" s="2405"/>
      <c r="BM101" s="2405"/>
      <c r="BN101" s="2405"/>
      <c r="BO101" s="2405"/>
      <c r="BP101" s="2405"/>
      <c r="BQ101" s="1219"/>
      <c r="BR101" s="1219"/>
      <c r="BS101" s="1219"/>
      <c r="BT101" s="1219"/>
      <c r="BU101" s="1219"/>
      <c r="BV101" s="1219"/>
      <c r="BW101" s="2405"/>
    </row>
    <row r="102" spans="1:75" s="368" customFormat="1" ht="18" hidden="1" customHeight="1" thickBot="1">
      <c r="A102" s="336"/>
      <c r="C102" s="336"/>
      <c r="D102" s="534"/>
      <c r="E102" s="534"/>
      <c r="F102" s="534"/>
      <c r="G102" s="534"/>
      <c r="H102" s="534"/>
      <c r="I102" s="534"/>
      <c r="J102" s="534"/>
      <c r="K102" s="534"/>
      <c r="L102" s="2541"/>
      <c r="M102" s="534"/>
      <c r="N102" s="2392"/>
      <c r="O102" s="336"/>
      <c r="R102" s="336"/>
      <c r="S102" s="336"/>
      <c r="T102" s="336"/>
      <c r="U102" s="336"/>
      <c r="V102" s="336"/>
      <c r="W102" s="2640"/>
      <c r="X102" s="336"/>
      <c r="Y102" s="336"/>
      <c r="Z102" s="336"/>
      <c r="AA102" s="336"/>
      <c r="AB102" s="336"/>
      <c r="AC102" s="336"/>
      <c r="AD102" s="336"/>
      <c r="AE102" s="336"/>
      <c r="AF102" s="336"/>
      <c r="AG102" s="336"/>
      <c r="AH102" s="336"/>
      <c r="AI102" s="336"/>
      <c r="AJ102" s="336"/>
      <c r="AK102" s="336"/>
      <c r="AL102" s="336"/>
      <c r="AM102" s="336"/>
      <c r="AN102" s="336"/>
      <c r="AO102" s="336"/>
      <c r="AP102" s="336"/>
      <c r="AQ102" s="336"/>
      <c r="AR102" s="336"/>
      <c r="AS102" s="336"/>
      <c r="AT102" s="336"/>
      <c r="AU102" s="2640"/>
      <c r="AV102" s="336"/>
      <c r="AW102" s="336"/>
      <c r="AX102" s="336"/>
      <c r="AY102" s="336"/>
      <c r="AZ102" s="336"/>
      <c r="BA102" s="336"/>
      <c r="BB102" s="336"/>
      <c r="BC102" s="336"/>
      <c r="BD102" s="336"/>
      <c r="BE102" s="336"/>
      <c r="BG102" s="2405"/>
      <c r="BH102" s="2405"/>
      <c r="BI102" s="2405"/>
      <c r="BJ102" s="2405"/>
      <c r="BK102" s="2405"/>
      <c r="BL102" s="2405"/>
      <c r="BM102" s="2405"/>
      <c r="BN102" s="2405"/>
      <c r="BO102" s="2405"/>
      <c r="BP102" s="2405"/>
      <c r="BQ102" s="1219"/>
      <c r="BR102" s="1219"/>
      <c r="BS102" s="1219"/>
      <c r="BT102" s="1219"/>
      <c r="BU102" s="1219"/>
      <c r="BV102" s="1219"/>
      <c r="BW102" s="2405"/>
    </row>
    <row r="103" spans="1:75" s="368" customFormat="1" ht="18" hidden="1" customHeight="1" thickTop="1">
      <c r="A103" s="3674" t="s">
        <v>38</v>
      </c>
      <c r="C103" s="2334"/>
      <c r="D103" s="3676" t="s">
        <v>124</v>
      </c>
      <c r="E103" s="3676" t="str">
        <f>"Ejerc. "&amp;Año_Com_Ejerc_1</f>
        <v>Ejerc. 0</v>
      </c>
      <c r="F103" s="1158"/>
      <c r="G103" s="3676" t="str">
        <f>"Ejerc. "&amp;Año_Com_Ejerc_2</f>
        <v>Ejerc. 1</v>
      </c>
      <c r="H103" s="3676" t="str">
        <f>"Ejerc. "&amp;Año_Com_Ejerc_3</f>
        <v>Ejerc. 2</v>
      </c>
      <c r="I103" s="1158"/>
      <c r="J103" s="3676" t="str">
        <f>"Ejerc. "&amp;Año_Com_Ejerc_4</f>
        <v>Ejerc. 3</v>
      </c>
      <c r="K103" s="3655" t="str">
        <f>"Ejerc. "&amp;Año_Com_Ejerc_5</f>
        <v>Ejerc. 4</v>
      </c>
      <c r="L103" s="2542"/>
      <c r="M103" s="338"/>
      <c r="N103" s="2399"/>
      <c r="O103" s="2340"/>
      <c r="R103" s="2340"/>
      <c r="S103" s="2340"/>
      <c r="T103" s="2340"/>
      <c r="U103" s="2340"/>
      <c r="V103" s="2340"/>
      <c r="W103" s="2641"/>
      <c r="X103" s="2340"/>
      <c r="Y103" s="2340"/>
      <c r="Z103" s="2340"/>
      <c r="AA103" s="2340"/>
      <c r="AB103" s="2340"/>
      <c r="AC103" s="2340"/>
      <c r="AD103" s="2340"/>
      <c r="AE103" s="2340"/>
      <c r="AF103" s="2340"/>
      <c r="AG103" s="2340"/>
      <c r="AH103" s="2340"/>
      <c r="AI103" s="2340"/>
      <c r="AJ103" s="2340"/>
      <c r="AK103" s="2340"/>
      <c r="AL103" s="2340"/>
      <c r="AM103" s="2340"/>
      <c r="AN103" s="2340"/>
      <c r="AO103" s="2340"/>
      <c r="AP103" s="2340"/>
      <c r="AQ103" s="2340"/>
      <c r="AR103" s="2340"/>
      <c r="AS103" s="2340"/>
      <c r="AT103" s="2340"/>
      <c r="AU103" s="2641"/>
      <c r="AV103" s="2340"/>
      <c r="AW103" s="2340"/>
      <c r="AX103" s="2340"/>
      <c r="AY103" s="2340"/>
      <c r="AZ103" s="2340"/>
      <c r="BA103" s="2340"/>
      <c r="BB103" s="2340"/>
      <c r="BC103" s="2340"/>
      <c r="BD103" s="2340"/>
      <c r="BE103" s="2340"/>
      <c r="BG103" s="2405"/>
      <c r="BH103" s="2405"/>
      <c r="BI103" s="2405"/>
      <c r="BJ103" s="2405"/>
      <c r="BK103" s="2405"/>
      <c r="BL103" s="2405"/>
      <c r="BM103" s="2405"/>
      <c r="BN103" s="2405"/>
      <c r="BO103" s="2405"/>
      <c r="BP103" s="2405"/>
      <c r="BQ103" s="1219"/>
      <c r="BR103" s="1219"/>
      <c r="BS103" s="1219"/>
      <c r="BT103" s="1219"/>
      <c r="BU103" s="1219"/>
      <c r="BV103" s="1219"/>
      <c r="BW103" s="2405"/>
    </row>
    <row r="104" spans="1:75" s="368" customFormat="1" ht="18" hidden="1" customHeight="1" thickBot="1">
      <c r="A104" s="3675"/>
      <c r="C104" s="1136"/>
      <c r="D104" s="3677"/>
      <c r="E104" s="3677"/>
      <c r="F104" s="1159"/>
      <c r="G104" s="3677"/>
      <c r="H104" s="3677"/>
      <c r="I104" s="1159"/>
      <c r="J104" s="3677"/>
      <c r="K104" s="3656"/>
      <c r="L104" s="2542"/>
      <c r="M104" s="338"/>
      <c r="N104" s="2399"/>
      <c r="O104" s="2340"/>
      <c r="R104" s="2340"/>
      <c r="S104" s="2340"/>
      <c r="T104" s="2340"/>
      <c r="U104" s="2340"/>
      <c r="V104" s="2340"/>
      <c r="W104" s="2641"/>
      <c r="X104" s="2340"/>
      <c r="Y104" s="2340"/>
      <c r="Z104" s="2340"/>
      <c r="AA104" s="2340"/>
      <c r="AB104" s="2340"/>
      <c r="AC104" s="2340"/>
      <c r="AD104" s="2340"/>
      <c r="AE104" s="2340"/>
      <c r="AF104" s="2340"/>
      <c r="AG104" s="2340"/>
      <c r="AH104" s="2340"/>
      <c r="AI104" s="2340"/>
      <c r="AJ104" s="2340"/>
      <c r="AK104" s="2340"/>
      <c r="AL104" s="2340"/>
      <c r="AM104" s="2340"/>
      <c r="AN104" s="2340"/>
      <c r="AO104" s="2340"/>
      <c r="AP104" s="2340"/>
      <c r="AQ104" s="2340"/>
      <c r="AR104" s="2340"/>
      <c r="AS104" s="2340"/>
      <c r="AT104" s="2340"/>
      <c r="AU104" s="2641"/>
      <c r="AV104" s="2340"/>
      <c r="AW104" s="2340"/>
      <c r="AX104" s="2340"/>
      <c r="AY104" s="2340"/>
      <c r="AZ104" s="2340"/>
      <c r="BA104" s="2340"/>
      <c r="BB104" s="2340"/>
      <c r="BC104" s="2340"/>
      <c r="BD104" s="2340"/>
      <c r="BE104" s="2340"/>
      <c r="BG104" s="2405"/>
      <c r="BH104" s="2405"/>
      <c r="BI104" s="2405"/>
      <c r="BJ104" s="2405"/>
      <c r="BK104" s="2405"/>
      <c r="BL104" s="2405"/>
      <c r="BM104" s="2405"/>
      <c r="BN104" s="2405"/>
      <c r="BO104" s="2405"/>
      <c r="BP104" s="2405"/>
      <c r="BQ104" s="1219"/>
      <c r="BR104" s="1219"/>
      <c r="BS104" s="1219"/>
      <c r="BT104" s="1219"/>
      <c r="BU104" s="1219"/>
      <c r="BV104" s="1219"/>
      <c r="BW104" s="2405"/>
    </row>
    <row r="105" spans="1:75" s="368" customFormat="1" ht="18" hidden="1" customHeight="1" thickTop="1">
      <c r="A105" s="558" t="s">
        <v>1</v>
      </c>
      <c r="C105" s="2336"/>
      <c r="D105" s="1195">
        <f>IF(Consolidación?="NO",'(0) 1a. Activos de Partida'!H8+'(0) 1a. Activos de Partida'!I8+'(0) 1a. Activos de Partida'!E8,'(0) 1a. Activos de Partida'!E8+'(0) 1a. Activos de Partida'!H8+'(0) 1a. Activos de Partida'!I8)</f>
        <v>0</v>
      </c>
      <c r="E105" s="1190">
        <f>D105+AA22-AA63</f>
        <v>0</v>
      </c>
      <c r="F105" s="1160"/>
      <c r="G105" s="1155">
        <f>E105+AL22-AL63</f>
        <v>0</v>
      </c>
      <c r="H105" s="1155">
        <f>G105+AV22-AV63</f>
        <v>0</v>
      </c>
      <c r="I105" s="1160"/>
      <c r="J105" s="1155">
        <f>H105+AY22-AY63</f>
        <v>0</v>
      </c>
      <c r="K105" s="1156">
        <f>J105+BB22-BB63</f>
        <v>0</v>
      </c>
      <c r="L105" s="2543"/>
      <c r="M105" s="338"/>
      <c r="N105" s="2400"/>
      <c r="O105" s="1137"/>
      <c r="R105" s="1137"/>
      <c r="S105" s="1137"/>
      <c r="T105" s="1137"/>
      <c r="U105" s="1137"/>
      <c r="V105" s="1137"/>
      <c r="W105" s="2642"/>
      <c r="X105" s="1137"/>
      <c r="Y105" s="1137"/>
      <c r="Z105" s="1137"/>
      <c r="AA105" s="1137"/>
      <c r="AB105" s="1137"/>
      <c r="AC105" s="1137"/>
      <c r="AD105" s="1137"/>
      <c r="AE105" s="1137"/>
      <c r="AF105" s="1137"/>
      <c r="AG105" s="1137"/>
      <c r="AH105" s="1137"/>
      <c r="AI105" s="1137"/>
      <c r="AJ105" s="1137"/>
      <c r="AK105" s="1137"/>
      <c r="AL105" s="1137"/>
      <c r="AM105" s="1137"/>
      <c r="AN105" s="1137"/>
      <c r="AO105" s="1137"/>
      <c r="AP105" s="1137"/>
      <c r="AQ105" s="1137"/>
      <c r="AR105" s="1137"/>
      <c r="AS105" s="1137"/>
      <c r="AT105" s="1137"/>
      <c r="AU105" s="2642"/>
      <c r="AV105" s="1137"/>
      <c r="AW105" s="1137"/>
      <c r="AX105" s="1137"/>
      <c r="AY105" s="1137"/>
      <c r="AZ105" s="1137"/>
      <c r="BA105" s="1137"/>
      <c r="BB105" s="1137"/>
      <c r="BC105" s="1137"/>
      <c r="BD105" s="1137"/>
      <c r="BE105" s="1137"/>
      <c r="BG105" s="2405"/>
      <c r="BH105" s="2405"/>
      <c r="BI105" s="2405"/>
      <c r="BJ105" s="2405"/>
      <c r="BK105" s="2405"/>
      <c r="BL105" s="2405"/>
      <c r="BM105" s="2405"/>
      <c r="BN105" s="2405"/>
      <c r="BO105" s="2405"/>
      <c r="BP105" s="2405"/>
      <c r="BQ105" s="1219"/>
      <c r="BR105" s="1219"/>
      <c r="BS105" s="1219"/>
      <c r="BT105" s="1219"/>
      <c r="BU105" s="1219"/>
      <c r="BV105" s="1219"/>
      <c r="BW105" s="2405"/>
    </row>
    <row r="106" spans="1:75" hidden="1">
      <c r="A106" s="560" t="s">
        <v>39</v>
      </c>
      <c r="C106" s="2337"/>
      <c r="D106" s="561">
        <f>IF(Consolidación?="NO",0-SUM('(0) 1a. Activos de Partida'!F9:F17),-SUM('(0) 1a. Activos de Partida'!F9:F17))</f>
        <v>0</v>
      </c>
      <c r="E106" s="1191">
        <f>D106+IF(E105=0,0,(-'Aux. Amortiz Contable'!I18))</f>
        <v>0</v>
      </c>
      <c r="F106" s="567"/>
      <c r="G106" s="562">
        <f>E106-'Aux. Amortiz Contable'!K18</f>
        <v>0</v>
      </c>
      <c r="H106" s="562">
        <f>G106-'Aux. Amortiz Contable'!M18</f>
        <v>0</v>
      </c>
      <c r="I106" s="567"/>
      <c r="J106" s="562">
        <f>H106-'Aux. Amortiz Contable'!O18</f>
        <v>0</v>
      </c>
      <c r="K106" s="563">
        <f>J106-'Aux. Amortiz Contable'!Q18</f>
        <v>0</v>
      </c>
      <c r="L106" s="2544"/>
      <c r="M106" s="338"/>
      <c r="N106" s="2401"/>
      <c r="O106" s="1138"/>
      <c r="R106" s="1138"/>
      <c r="S106" s="1138"/>
      <c r="T106" s="1138"/>
      <c r="U106" s="1138"/>
      <c r="V106" s="1138"/>
      <c r="W106" s="2643"/>
      <c r="X106" s="1138"/>
      <c r="Y106" s="1138"/>
      <c r="Z106" s="1138"/>
      <c r="AA106" s="1138"/>
      <c r="AB106" s="1138"/>
      <c r="AC106" s="1138"/>
      <c r="AD106" s="1138"/>
      <c r="AE106" s="1138"/>
      <c r="AF106" s="1138"/>
      <c r="AG106" s="1138"/>
      <c r="AH106" s="1138"/>
      <c r="AI106" s="1138"/>
      <c r="AJ106" s="1138"/>
      <c r="AK106" s="1138"/>
      <c r="AL106" s="1138"/>
      <c r="AM106" s="1138"/>
      <c r="AN106" s="1138"/>
      <c r="AO106" s="1138"/>
      <c r="AP106" s="1138"/>
      <c r="AQ106" s="1138"/>
      <c r="AR106" s="1138"/>
      <c r="AS106" s="1138"/>
      <c r="AT106" s="1138"/>
      <c r="AU106" s="2643"/>
      <c r="AV106" s="1138"/>
      <c r="AW106" s="1138"/>
      <c r="AX106" s="1138"/>
      <c r="AY106" s="1138"/>
      <c r="AZ106" s="1138"/>
      <c r="BA106" s="1138"/>
      <c r="BB106" s="1138"/>
      <c r="BC106" s="1138"/>
      <c r="BD106" s="1138"/>
      <c r="BE106" s="1138"/>
      <c r="BG106" s="2556"/>
      <c r="BH106" s="2556"/>
      <c r="BI106" s="2556"/>
      <c r="BJ106" s="2556"/>
      <c r="BK106" s="2556"/>
      <c r="BL106" s="2556"/>
      <c r="BS106" s="2556"/>
      <c r="BT106" s="2556"/>
      <c r="BU106" s="2556"/>
      <c r="BV106" s="2556"/>
      <c r="BW106" s="2420"/>
    </row>
    <row r="107" spans="1:75" hidden="1">
      <c r="A107" s="564" t="s">
        <v>100</v>
      </c>
      <c r="C107" s="1140"/>
      <c r="D107" s="559">
        <f>IF(Consolidación?="NO",'(0) 1a. Activos de Partida'!H19+'(0) 1a. Activos de Partida'!I19+'(0) 1a. Activos de Partida'!E19,'(0) 1a. Activos de Partida'!E19+'(0) 1a. Activos de Partida'!H19+'(0) 1a. Activos de Partida'!I19)</f>
        <v>0</v>
      </c>
      <c r="E107" s="1192">
        <f>D107+AA27</f>
        <v>0</v>
      </c>
      <c r="F107" s="565"/>
      <c r="G107" s="565">
        <f>E107+AL27</f>
        <v>0</v>
      </c>
      <c r="H107" s="565">
        <f>G107+AV27</f>
        <v>0</v>
      </c>
      <c r="I107" s="565"/>
      <c r="J107" s="565">
        <f>H107+AY27</f>
        <v>0</v>
      </c>
      <c r="K107" s="566">
        <f>J107+BB27</f>
        <v>0</v>
      </c>
      <c r="L107" s="2543"/>
      <c r="M107" s="338"/>
      <c r="N107" s="2402"/>
      <c r="O107" s="1139"/>
      <c r="R107" s="1139"/>
      <c r="S107" s="1139"/>
      <c r="T107" s="1139"/>
      <c r="U107" s="1139"/>
      <c r="V107" s="1139"/>
      <c r="W107" s="2644"/>
      <c r="X107" s="1139"/>
      <c r="Y107" s="1139"/>
      <c r="Z107" s="1139"/>
      <c r="AA107" s="1139"/>
      <c r="AB107" s="1139"/>
      <c r="AC107" s="1139"/>
      <c r="AD107" s="1139"/>
      <c r="AE107" s="1139"/>
      <c r="AF107" s="1139"/>
      <c r="AG107" s="1139"/>
      <c r="AH107" s="1139"/>
      <c r="AI107" s="1139"/>
      <c r="AJ107" s="1139"/>
      <c r="AK107" s="1139"/>
      <c r="AL107" s="1139"/>
      <c r="AM107" s="1139"/>
      <c r="AN107" s="1139"/>
      <c r="AO107" s="1139"/>
      <c r="AP107" s="1139"/>
      <c r="AQ107" s="1139"/>
      <c r="AR107" s="1139"/>
      <c r="AS107" s="1139"/>
      <c r="AT107" s="1139"/>
      <c r="AU107" s="2644"/>
      <c r="AV107" s="1139"/>
      <c r="AW107" s="1139"/>
      <c r="AX107" s="1139"/>
      <c r="AY107" s="1139"/>
      <c r="AZ107" s="1139"/>
      <c r="BA107" s="1139"/>
      <c r="BB107" s="1139"/>
      <c r="BC107" s="1139"/>
      <c r="BD107" s="1139"/>
      <c r="BE107" s="1139"/>
      <c r="BG107" s="2556"/>
      <c r="BH107" s="2556"/>
      <c r="BI107" s="2556"/>
      <c r="BJ107" s="2556"/>
      <c r="BK107" s="2556"/>
      <c r="BL107" s="2556"/>
      <c r="BS107" s="2556"/>
      <c r="BT107" s="2556"/>
      <c r="BU107" s="2556"/>
      <c r="BV107" s="2556"/>
      <c r="BW107" s="2420"/>
    </row>
    <row r="108" spans="1:75" hidden="1">
      <c r="A108" s="560" t="s">
        <v>40</v>
      </c>
      <c r="C108" s="2337"/>
      <c r="D108" s="561">
        <f>IF(Consolidación?="NO",0-SUM('(0) 1a. Activos de Partida'!F20:F23),-SUM('(0) 1a. Activos de Partida'!F20:F23))</f>
        <v>0</v>
      </c>
      <c r="E108" s="1191">
        <f>D108-'Aux. Amortiz Contable'!I24</f>
        <v>0</v>
      </c>
      <c r="F108" s="567"/>
      <c r="G108" s="562">
        <f>E108-'Aux. Amortiz Contable'!K24</f>
        <v>0</v>
      </c>
      <c r="H108" s="562">
        <f>G108-'Aux. Amortiz Contable'!M24</f>
        <v>0</v>
      </c>
      <c r="I108" s="567"/>
      <c r="J108" s="562">
        <f>H108-'Aux. Amortiz Contable'!O24</f>
        <v>0</v>
      </c>
      <c r="K108" s="563">
        <f>J108-'Aux. Amortiz Contable'!Q24</f>
        <v>0</v>
      </c>
      <c r="L108" s="2544"/>
      <c r="M108" s="338"/>
      <c r="N108" s="2401"/>
      <c r="O108" s="1138"/>
      <c r="R108" s="1138"/>
      <c r="S108" s="1138"/>
      <c r="T108" s="1138"/>
      <c r="U108" s="1138"/>
      <c r="V108" s="1138"/>
      <c r="W108" s="2643"/>
      <c r="X108" s="1138"/>
      <c r="Y108" s="1138"/>
      <c r="Z108" s="1138"/>
      <c r="AA108" s="1138"/>
      <c r="AB108" s="1138"/>
      <c r="AC108" s="1138"/>
      <c r="AD108" s="1138"/>
      <c r="AE108" s="1138"/>
      <c r="AF108" s="1138"/>
      <c r="AG108" s="1138"/>
      <c r="AH108" s="1138"/>
      <c r="AI108" s="1138"/>
      <c r="AJ108" s="1138"/>
      <c r="AK108" s="1138"/>
      <c r="AL108" s="1138"/>
      <c r="AM108" s="1138"/>
      <c r="AN108" s="1138"/>
      <c r="AO108" s="1138"/>
      <c r="AP108" s="1138"/>
      <c r="AQ108" s="1138"/>
      <c r="AR108" s="1138"/>
      <c r="AS108" s="1138"/>
      <c r="AT108" s="1138"/>
      <c r="AU108" s="2643"/>
      <c r="AV108" s="1138"/>
      <c r="AW108" s="1138"/>
      <c r="AX108" s="1138"/>
      <c r="AY108" s="1138"/>
      <c r="AZ108" s="1138"/>
      <c r="BA108" s="1138"/>
      <c r="BB108" s="1138"/>
      <c r="BC108" s="1138"/>
      <c r="BD108" s="1138"/>
      <c r="BE108" s="1138"/>
      <c r="BG108" s="2556"/>
      <c r="BH108" s="2556"/>
      <c r="BI108" s="2556"/>
      <c r="BJ108" s="2556"/>
      <c r="BK108" s="2556"/>
      <c r="BL108" s="2556"/>
      <c r="BS108" s="2556"/>
      <c r="BT108" s="2556"/>
      <c r="BU108" s="2556"/>
      <c r="BV108" s="2556"/>
      <c r="BW108" s="2420"/>
    </row>
    <row r="109" spans="1:75" hidden="1">
      <c r="A109" s="564" t="s">
        <v>101</v>
      </c>
      <c r="C109" s="1140"/>
      <c r="D109" s="559">
        <f>IF(Consolidación?="NO",'(0) 1a. Activos de Partida'!H25+'(0) 1a. Activos de Partida'!I25+'(0) 1a. Activos de Partida'!E25,'(0) 1a. Activos de Partida'!E25+'(0) 1a. Activos de Partida'!I25+'(0) 1a. Activos de Partida'!H25)</f>
        <v>0</v>
      </c>
      <c r="E109" s="1192">
        <f>D109</f>
        <v>0</v>
      </c>
      <c r="F109" s="565"/>
      <c r="G109" s="565">
        <f>E109</f>
        <v>0</v>
      </c>
      <c r="H109" s="565">
        <f>G109</f>
        <v>0</v>
      </c>
      <c r="I109" s="565"/>
      <c r="J109" s="565">
        <f>H109</f>
        <v>0</v>
      </c>
      <c r="K109" s="566">
        <f>J109</f>
        <v>0</v>
      </c>
      <c r="L109" s="2543"/>
      <c r="M109" s="338"/>
      <c r="N109" s="2402"/>
      <c r="O109" s="1139"/>
      <c r="P109" s="1139"/>
      <c r="Q109" s="1139"/>
      <c r="R109" s="1139"/>
      <c r="S109" s="1139"/>
      <c r="T109" s="1139"/>
      <c r="U109" s="1139"/>
      <c r="V109" s="1139"/>
      <c r="W109" s="2644"/>
      <c r="X109" s="1139"/>
      <c r="Y109" s="1139"/>
      <c r="Z109" s="1139"/>
      <c r="AA109" s="1139"/>
      <c r="AB109" s="1139"/>
      <c r="AC109" s="1139"/>
      <c r="AD109" s="1139"/>
      <c r="AE109" s="1139"/>
      <c r="AF109" s="1139"/>
      <c r="AG109" s="1139"/>
      <c r="AH109" s="1139"/>
      <c r="AI109" s="1139"/>
      <c r="AJ109" s="1139"/>
      <c r="AK109" s="1139"/>
      <c r="AL109" s="1139"/>
      <c r="AM109" s="1139"/>
      <c r="AN109" s="1139"/>
      <c r="AO109" s="1139"/>
      <c r="AP109" s="1139"/>
      <c r="AQ109" s="1139"/>
      <c r="AR109" s="1139"/>
      <c r="AS109" s="1139"/>
      <c r="AT109" s="1139"/>
      <c r="AU109" s="2644"/>
      <c r="AV109" s="1139"/>
      <c r="AW109" s="1139"/>
      <c r="AX109" s="1139"/>
      <c r="AY109" s="1139"/>
      <c r="AZ109" s="1139"/>
      <c r="BA109" s="1139"/>
      <c r="BB109" s="1139"/>
      <c r="BC109" s="1139"/>
      <c r="BD109" s="1139"/>
      <c r="BE109" s="1139"/>
      <c r="BG109" s="2556"/>
      <c r="BH109" s="2556"/>
      <c r="BI109" s="2556"/>
      <c r="BJ109" s="2556"/>
      <c r="BK109" s="2556"/>
      <c r="BL109" s="2556"/>
      <c r="BS109" s="2556"/>
      <c r="BT109" s="2556"/>
      <c r="BU109" s="2556"/>
      <c r="BV109" s="2556"/>
      <c r="BW109" s="2420"/>
    </row>
    <row r="110" spans="1:75" hidden="1">
      <c r="A110" s="560" t="s">
        <v>354</v>
      </c>
      <c r="C110" s="2337"/>
      <c r="D110" s="1185">
        <f>IF(Consolidación?="NO",0-SUM('(0) 1a. Activos de Partida'!F26:F26),-SUM('(0) 1a. Activos de Partida'!F26:F26))</f>
        <v>0</v>
      </c>
      <c r="E110" s="1193">
        <f>D110</f>
        <v>0</v>
      </c>
      <c r="F110" s="1186"/>
      <c r="G110" s="1186">
        <f>E110</f>
        <v>0</v>
      </c>
      <c r="H110" s="1186">
        <f>G110</f>
        <v>0</v>
      </c>
      <c r="I110" s="1186"/>
      <c r="J110" s="1186">
        <f>H110</f>
        <v>0</v>
      </c>
      <c r="K110" s="1187">
        <f>J110</f>
        <v>0</v>
      </c>
      <c r="L110" s="2544"/>
      <c r="M110" s="338"/>
      <c r="N110" s="2401"/>
      <c r="O110" s="1138"/>
      <c r="P110" s="1138"/>
      <c r="Q110" s="1138"/>
      <c r="R110" s="1138"/>
      <c r="S110" s="1138"/>
      <c r="T110" s="1138"/>
      <c r="U110" s="1138"/>
      <c r="V110" s="1138"/>
      <c r="W110" s="2643"/>
      <c r="X110" s="1138"/>
      <c r="Y110" s="1138"/>
      <c r="Z110" s="1138"/>
      <c r="AA110" s="1138"/>
      <c r="AB110" s="1138"/>
      <c r="AC110" s="1138"/>
      <c r="AD110" s="1138"/>
      <c r="AE110" s="1138"/>
      <c r="AF110" s="1138"/>
      <c r="AG110" s="1138"/>
      <c r="AH110" s="1138"/>
      <c r="AI110" s="1138"/>
      <c r="AJ110" s="1138"/>
      <c r="AK110" s="1138"/>
      <c r="AL110" s="1138"/>
      <c r="AM110" s="1138"/>
      <c r="AN110" s="1138"/>
      <c r="AO110" s="1138"/>
      <c r="AP110" s="1138"/>
      <c r="AQ110" s="1138"/>
      <c r="AR110" s="1138"/>
      <c r="AS110" s="1138"/>
      <c r="AT110" s="1138"/>
      <c r="AU110" s="2643"/>
      <c r="AV110" s="1138"/>
      <c r="AW110" s="1138"/>
      <c r="AX110" s="1138"/>
      <c r="AY110" s="1138"/>
      <c r="AZ110" s="1138"/>
      <c r="BA110" s="1138"/>
      <c r="BB110" s="1138"/>
      <c r="BC110" s="1138"/>
      <c r="BD110" s="1138"/>
      <c r="BE110" s="1138"/>
      <c r="BG110" s="2556"/>
      <c r="BH110" s="2556"/>
      <c r="BI110" s="2556"/>
      <c r="BJ110" s="2556"/>
      <c r="BK110" s="2556"/>
      <c r="BL110" s="2556"/>
      <c r="BS110" s="2556"/>
      <c r="BT110" s="2556"/>
      <c r="BU110" s="2556"/>
      <c r="BV110" s="2556"/>
      <c r="BW110" s="2420"/>
    </row>
    <row r="111" spans="1:75" hidden="1">
      <c r="A111" s="564" t="s">
        <v>95</v>
      </c>
      <c r="C111" s="1140"/>
      <c r="D111" s="566">
        <f>'(0) 1a. Activos de Partida'!B28</f>
        <v>0</v>
      </c>
      <c r="E111" s="1192">
        <f>D111+AA42*0</f>
        <v>0</v>
      </c>
      <c r="F111" s="565"/>
      <c r="G111" s="565">
        <f>E111+AL42*0</f>
        <v>0</v>
      </c>
      <c r="H111" s="565">
        <f>G111+AV40*0</f>
        <v>0</v>
      </c>
      <c r="I111" s="565"/>
      <c r="J111" s="565">
        <f>H111+AY40*0</f>
        <v>0</v>
      </c>
      <c r="K111" s="566">
        <f>J111+BB40*0</f>
        <v>0</v>
      </c>
      <c r="L111" s="2543"/>
      <c r="M111" s="338"/>
      <c r="N111" s="2402"/>
      <c r="O111" s="1139"/>
      <c r="P111" s="1139"/>
      <c r="Q111" s="1139"/>
      <c r="R111" s="1139"/>
      <c r="S111" s="1139"/>
      <c r="T111" s="1139"/>
      <c r="U111" s="1139"/>
      <c r="V111" s="1139"/>
      <c r="W111" s="2644"/>
      <c r="X111" s="1139"/>
      <c r="Y111" s="1139"/>
      <c r="Z111" s="1139"/>
      <c r="AA111" s="1139"/>
      <c r="AB111" s="1139"/>
      <c r="AC111" s="1139"/>
      <c r="AD111" s="1139"/>
      <c r="AE111" s="1139"/>
      <c r="AF111" s="1139"/>
      <c r="AG111" s="1139"/>
      <c r="AH111" s="1139"/>
      <c r="AI111" s="1139"/>
      <c r="AJ111" s="1139"/>
      <c r="AK111" s="1139"/>
      <c r="AL111" s="1139"/>
      <c r="AM111" s="1139"/>
      <c r="AN111" s="1139"/>
      <c r="AO111" s="1139"/>
      <c r="AP111" s="1139"/>
      <c r="AQ111" s="1139"/>
      <c r="AR111" s="1139"/>
      <c r="AS111" s="1139"/>
      <c r="AT111" s="1139"/>
      <c r="AU111" s="2644"/>
      <c r="AV111" s="1139"/>
      <c r="AW111" s="1139"/>
      <c r="AX111" s="1139"/>
      <c r="AY111" s="1139"/>
      <c r="AZ111" s="1139"/>
      <c r="BA111" s="1139"/>
      <c r="BB111" s="1139"/>
      <c r="BC111" s="1139"/>
      <c r="BD111" s="1139"/>
      <c r="BE111" s="1139"/>
      <c r="BG111" s="2556"/>
      <c r="BH111" s="2556"/>
      <c r="BI111" s="2556"/>
      <c r="BJ111" s="2556"/>
      <c r="BK111" s="2556"/>
      <c r="BL111" s="2556"/>
      <c r="BS111" s="2556"/>
      <c r="BT111" s="2556"/>
      <c r="BU111" s="2556"/>
      <c r="BV111" s="2556"/>
      <c r="BW111" s="2420"/>
    </row>
    <row r="112" spans="1:75" hidden="1">
      <c r="A112" s="564" t="s">
        <v>2</v>
      </c>
      <c r="C112" s="1140"/>
      <c r="D112" s="566">
        <f>'(0) 1a. Activos de Partida'!B30</f>
        <v>0</v>
      </c>
      <c r="E112" s="1192">
        <f>D112-'(0) 1a. Activos de Partida'!B31</f>
        <v>0</v>
      </c>
      <c r="F112" s="565"/>
      <c r="G112" s="565"/>
      <c r="H112" s="565"/>
      <c r="I112" s="565"/>
      <c r="J112" s="565"/>
      <c r="K112" s="566"/>
      <c r="L112" s="2543"/>
      <c r="M112" s="338"/>
      <c r="N112" s="2402"/>
      <c r="O112" s="1139"/>
      <c r="P112" s="1139"/>
      <c r="Q112" s="1139"/>
      <c r="R112" s="1139"/>
      <c r="S112" s="1139"/>
      <c r="T112" s="1139"/>
      <c r="U112" s="1139"/>
      <c r="V112" s="1139"/>
      <c r="W112" s="2644"/>
      <c r="X112" s="1139"/>
      <c r="Y112" s="1139"/>
      <c r="Z112" s="1139"/>
      <c r="AA112" s="1139"/>
      <c r="AB112" s="1139"/>
      <c r="AC112" s="1139"/>
      <c r="AD112" s="1139"/>
      <c r="AE112" s="1139"/>
      <c r="AF112" s="1139"/>
      <c r="AG112" s="1139"/>
      <c r="AH112" s="1139"/>
      <c r="AI112" s="1139"/>
      <c r="AJ112" s="1139"/>
      <c r="AK112" s="1139"/>
      <c r="AL112" s="1139"/>
      <c r="AM112" s="1139"/>
      <c r="AN112" s="1139"/>
      <c r="AO112" s="1139"/>
      <c r="AP112" s="1139"/>
      <c r="AQ112" s="1139"/>
      <c r="AR112" s="1139"/>
      <c r="AS112" s="1139"/>
      <c r="AT112" s="1139"/>
      <c r="AU112" s="2644"/>
      <c r="AV112" s="1139"/>
      <c r="AW112" s="1139"/>
      <c r="AX112" s="1139"/>
      <c r="AY112" s="1139"/>
      <c r="AZ112" s="1139"/>
      <c r="BA112" s="1139"/>
      <c r="BB112" s="1139"/>
      <c r="BC112" s="1139"/>
      <c r="BD112" s="1139"/>
      <c r="BE112" s="1139"/>
      <c r="BG112" s="2556"/>
      <c r="BH112" s="2556"/>
      <c r="BI112" s="2556"/>
      <c r="BJ112" s="2556"/>
      <c r="BK112" s="2556"/>
      <c r="BL112" s="2556"/>
      <c r="BS112" s="2556"/>
      <c r="BT112" s="2556"/>
      <c r="BU112" s="2556"/>
      <c r="BV112" s="2556"/>
      <c r="BW112" s="2420"/>
    </row>
    <row r="113" spans="1:75" hidden="1">
      <c r="A113" s="564" t="s">
        <v>3</v>
      </c>
      <c r="C113" s="1140"/>
      <c r="D113" s="566">
        <f t="shared" ref="D113:K113" si="7">SUM(D105:D112)</f>
        <v>0</v>
      </c>
      <c r="E113" s="1192">
        <f t="shared" si="7"/>
        <v>0</v>
      </c>
      <c r="F113" s="565"/>
      <c r="G113" s="565">
        <f t="shared" si="7"/>
        <v>0</v>
      </c>
      <c r="H113" s="565">
        <f t="shared" si="7"/>
        <v>0</v>
      </c>
      <c r="I113" s="565"/>
      <c r="J113" s="565">
        <f t="shared" si="7"/>
        <v>0</v>
      </c>
      <c r="K113" s="566">
        <f t="shared" si="7"/>
        <v>0</v>
      </c>
      <c r="L113" s="2543"/>
      <c r="M113" s="338"/>
      <c r="N113" s="2402"/>
      <c r="O113" s="1139"/>
      <c r="P113" s="1139"/>
      <c r="Q113" s="1139"/>
      <c r="R113" s="1139"/>
      <c r="S113" s="1139"/>
      <c r="T113" s="1139"/>
      <c r="U113" s="1139"/>
      <c r="V113" s="1139"/>
      <c r="W113" s="2644"/>
      <c r="X113" s="1139"/>
      <c r="Y113" s="1139"/>
      <c r="Z113" s="1139"/>
      <c r="AA113" s="1139"/>
      <c r="AB113" s="1139"/>
      <c r="AC113" s="1139"/>
      <c r="AD113" s="1139"/>
      <c r="AE113" s="1139"/>
      <c r="AF113" s="1139"/>
      <c r="AG113" s="1139"/>
      <c r="AH113" s="1139"/>
      <c r="AI113" s="1139"/>
      <c r="AJ113" s="1139"/>
      <c r="AK113" s="1139"/>
      <c r="AL113" s="1139"/>
      <c r="AM113" s="1139"/>
      <c r="AN113" s="1139"/>
      <c r="AO113" s="1139"/>
      <c r="AP113" s="1139"/>
      <c r="AQ113" s="1139"/>
      <c r="AR113" s="1139"/>
      <c r="AS113" s="1139"/>
      <c r="AT113" s="1139"/>
      <c r="AU113" s="2644"/>
      <c r="AV113" s="1139"/>
      <c r="AW113" s="1139"/>
      <c r="AX113" s="1139"/>
      <c r="AY113" s="1139"/>
      <c r="AZ113" s="1139"/>
      <c r="BA113" s="1139"/>
      <c r="BB113" s="1139"/>
      <c r="BC113" s="1139"/>
      <c r="BD113" s="1139"/>
      <c r="BE113" s="1139"/>
      <c r="BG113" s="2556"/>
      <c r="BH113" s="2556"/>
      <c r="BI113" s="2556"/>
      <c r="BJ113" s="2556"/>
      <c r="BK113" s="2556"/>
      <c r="BL113" s="2556"/>
      <c r="BS113" s="2556"/>
      <c r="BT113" s="2556"/>
      <c r="BU113" s="2556"/>
      <c r="BV113" s="2556"/>
      <c r="BW113" s="2420"/>
    </row>
    <row r="114" spans="1:75" hidden="1">
      <c r="A114" s="564" t="s">
        <v>4</v>
      </c>
      <c r="C114" s="1140"/>
      <c r="D114" s="566">
        <f>'(0) 1a. Activos de Partida'!B33</f>
        <v>0</v>
      </c>
      <c r="E114" s="1192">
        <f>'(0) 4. Resumen Balances (5 Ej.)'!D16</f>
        <v>0</v>
      </c>
      <c r="F114" s="565"/>
      <c r="G114" s="568">
        <f>'(0) 4. Resumen Balances (5 Ej.)'!F16</f>
        <v>0</v>
      </c>
      <c r="H114" s="568">
        <f>'(0) 4. Resumen Balances (5 Ej.)'!H16</f>
        <v>0</v>
      </c>
      <c r="I114" s="568"/>
      <c r="J114" s="568">
        <f>'(0) 4. Resumen Balances (5 Ej.)'!J16</f>
        <v>0</v>
      </c>
      <c r="K114" s="569">
        <f>'(0) 4. Resumen Balances (5 Ej.)'!L16</f>
        <v>0</v>
      </c>
      <c r="L114" s="2545"/>
      <c r="M114" s="338"/>
      <c r="N114" s="2402"/>
      <c r="O114" s="1139"/>
      <c r="P114" s="1139"/>
      <c r="Q114" s="1139"/>
      <c r="R114" s="1139"/>
      <c r="S114" s="1139"/>
      <c r="T114" s="1139"/>
      <c r="U114" s="1139"/>
      <c r="V114" s="1139"/>
      <c r="W114" s="2644"/>
      <c r="X114" s="1139"/>
      <c r="Y114" s="1139"/>
      <c r="Z114" s="1139"/>
      <c r="AA114" s="1139"/>
      <c r="AB114" s="1139"/>
      <c r="AC114" s="1139"/>
      <c r="AD114" s="1139"/>
      <c r="AE114" s="1139"/>
      <c r="AF114" s="1139"/>
      <c r="AG114" s="1139"/>
      <c r="AH114" s="1139"/>
      <c r="AI114" s="1139"/>
      <c r="AJ114" s="1139"/>
      <c r="AK114" s="1139"/>
      <c r="AL114" s="1139"/>
      <c r="AM114" s="1139"/>
      <c r="AN114" s="1139"/>
      <c r="AO114" s="1139"/>
      <c r="AP114" s="1139"/>
      <c r="AQ114" s="1139"/>
      <c r="AR114" s="1139"/>
      <c r="AS114" s="1139"/>
      <c r="AT114" s="1139"/>
      <c r="AU114" s="2644"/>
      <c r="AV114" s="1139"/>
      <c r="AW114" s="1139"/>
      <c r="AX114" s="1139"/>
      <c r="AY114" s="1139"/>
      <c r="AZ114" s="1139"/>
      <c r="BA114" s="1139"/>
      <c r="BB114" s="1139"/>
      <c r="BC114" s="1139"/>
      <c r="BD114" s="1139"/>
      <c r="BE114" s="1139"/>
      <c r="BG114" s="2556"/>
      <c r="BH114" s="2556"/>
      <c r="BI114" s="2556"/>
      <c r="BJ114" s="2556"/>
      <c r="BK114" s="2556"/>
      <c r="BL114" s="2556"/>
      <c r="BS114" s="2556"/>
      <c r="BT114" s="2556"/>
      <c r="BU114" s="2556"/>
      <c r="BV114" s="2556"/>
      <c r="BW114" s="2420"/>
    </row>
    <row r="115" spans="1:75" hidden="1">
      <c r="A115" s="564" t="s">
        <v>81</v>
      </c>
      <c r="C115" s="1140"/>
      <c r="D115" s="566">
        <f>'(0) 1a. Activos de Partida'!B39+'(0) 1a. Activos de Partida'!B37+'(0) 1a. Activos de Partida'!B38</f>
        <v>0</v>
      </c>
      <c r="E115" s="1192">
        <f>'(0) 4. Resumen Balances (5 Ej.)'!D17</f>
        <v>0</v>
      </c>
      <c r="F115" s="565"/>
      <c r="G115" s="568">
        <f>'(0) 4. Resumen Balances (5 Ej.)'!F17</f>
        <v>0</v>
      </c>
      <c r="H115" s="568">
        <f>'(0) 4. Resumen Balances (5 Ej.)'!H17</f>
        <v>0</v>
      </c>
      <c r="I115" s="568"/>
      <c r="J115" s="568">
        <f>'(0) 4. Resumen Balances (5 Ej.)'!J17</f>
        <v>0</v>
      </c>
      <c r="K115" s="569">
        <f>'(0) 4. Resumen Balances (5 Ej.)'!L17</f>
        <v>0</v>
      </c>
      <c r="L115" s="2545"/>
      <c r="M115" s="338"/>
      <c r="N115" s="2402"/>
      <c r="O115" s="1139"/>
      <c r="P115" s="1139"/>
      <c r="Q115" s="1139"/>
      <c r="R115" s="1139"/>
      <c r="S115" s="1139"/>
      <c r="T115" s="1139"/>
      <c r="U115" s="1139"/>
      <c r="V115" s="1139"/>
      <c r="W115" s="2644"/>
      <c r="X115" s="1139"/>
      <c r="Y115" s="1139"/>
      <c r="Z115" s="1139"/>
      <c r="AA115" s="1139"/>
      <c r="AB115" s="1139"/>
      <c r="AC115" s="1139"/>
      <c r="AD115" s="1139"/>
      <c r="AE115" s="1139"/>
      <c r="AF115" s="1139"/>
      <c r="AG115" s="1139"/>
      <c r="AH115" s="1139"/>
      <c r="AI115" s="1139"/>
      <c r="AJ115" s="1139"/>
      <c r="AK115" s="1139"/>
      <c r="AL115" s="1139"/>
      <c r="AM115" s="1139"/>
      <c r="AN115" s="1139"/>
      <c r="AO115" s="1139"/>
      <c r="AP115" s="1139"/>
      <c r="AQ115" s="1139"/>
      <c r="AR115" s="1139"/>
      <c r="AS115" s="1139"/>
      <c r="AT115" s="1139"/>
      <c r="AU115" s="2644"/>
      <c r="AV115" s="1139"/>
      <c r="AW115" s="1139"/>
      <c r="AX115" s="1139"/>
      <c r="AY115" s="1139"/>
      <c r="AZ115" s="1139"/>
      <c r="BA115" s="1139"/>
      <c r="BB115" s="1139"/>
      <c r="BC115" s="1139"/>
      <c r="BD115" s="1139"/>
      <c r="BE115" s="1139"/>
      <c r="BG115" s="2556"/>
      <c r="BH115" s="2556"/>
      <c r="BI115" s="2556"/>
      <c r="BJ115" s="2556"/>
      <c r="BK115" s="2556"/>
      <c r="BL115" s="2556"/>
      <c r="BS115" s="2556"/>
      <c r="BT115" s="2556"/>
      <c r="BU115" s="2556"/>
      <c r="BV115" s="2556"/>
      <c r="BW115" s="2420"/>
    </row>
    <row r="116" spans="1:75" hidden="1">
      <c r="A116" s="564" t="s">
        <v>8</v>
      </c>
      <c r="C116" s="1140"/>
      <c r="D116" s="566">
        <f>'(0) 1a. Activos de Partida'!B42</f>
        <v>0</v>
      </c>
      <c r="E116" s="1192">
        <f>'(0) 4. Resumen Balances (5 Ej.)'!D18</f>
        <v>0</v>
      </c>
      <c r="F116" s="565"/>
      <c r="G116" s="568">
        <f>'(0) 4. Resumen Balances (5 Ej.)'!F18</f>
        <v>0</v>
      </c>
      <c r="H116" s="568">
        <f>'(0) 4. Resumen Balances (5 Ej.)'!H18</f>
        <v>0</v>
      </c>
      <c r="I116" s="568"/>
      <c r="J116" s="568">
        <f>'(0) 4. Resumen Balances (5 Ej.)'!J18</f>
        <v>0</v>
      </c>
      <c r="K116" s="569">
        <f>'(0) 4. Resumen Balances (5 Ej.)'!L18</f>
        <v>0</v>
      </c>
      <c r="L116" s="2545"/>
      <c r="M116" s="338"/>
      <c r="N116" s="2402"/>
      <c r="O116" s="1139"/>
      <c r="P116" s="1139"/>
      <c r="Q116" s="1139"/>
      <c r="R116" s="1139"/>
      <c r="S116" s="1139"/>
      <c r="T116" s="1139"/>
      <c r="U116" s="1139"/>
      <c r="V116" s="1139"/>
      <c r="W116" s="2644"/>
      <c r="X116" s="1139"/>
      <c r="Y116" s="1139"/>
      <c r="Z116" s="1139"/>
      <c r="AA116" s="1139"/>
      <c r="AB116" s="1139"/>
      <c r="AC116" s="1139"/>
      <c r="AD116" s="1139"/>
      <c r="AE116" s="1139"/>
      <c r="AF116" s="1139"/>
      <c r="AG116" s="1139"/>
      <c r="AH116" s="1139"/>
      <c r="AI116" s="1139"/>
      <c r="AJ116" s="1139"/>
      <c r="AK116" s="1139"/>
      <c r="AL116" s="1139"/>
      <c r="AM116" s="1139"/>
      <c r="AN116" s="1139"/>
      <c r="AO116" s="1139"/>
      <c r="AP116" s="1139"/>
      <c r="AQ116" s="1139"/>
      <c r="AR116" s="1139"/>
      <c r="AS116" s="1139"/>
      <c r="AT116" s="1139"/>
      <c r="AU116" s="2644"/>
      <c r="AV116" s="1139"/>
      <c r="AW116" s="1139"/>
      <c r="AX116" s="1139"/>
      <c r="AY116" s="1139"/>
      <c r="AZ116" s="1139"/>
      <c r="BA116" s="1139"/>
      <c r="BB116" s="1139"/>
      <c r="BC116" s="1139"/>
      <c r="BD116" s="1139"/>
      <c r="BE116" s="1139"/>
      <c r="BG116" s="2556"/>
      <c r="BH116" s="2556"/>
      <c r="BI116" s="2556"/>
      <c r="BJ116" s="2556"/>
      <c r="BK116" s="2556"/>
      <c r="BL116" s="2556"/>
      <c r="BS116" s="2556"/>
      <c r="BT116" s="2556"/>
      <c r="BU116" s="2556"/>
      <c r="BV116" s="2556"/>
      <c r="BW116" s="2420"/>
    </row>
    <row r="117" spans="1:75" ht="5.25" hidden="1" customHeight="1" thickBot="1">
      <c r="A117" s="564"/>
      <c r="C117" s="1140"/>
      <c r="D117" s="566"/>
      <c r="E117" s="1192"/>
      <c r="F117" s="565"/>
      <c r="G117" s="568"/>
      <c r="H117" s="568"/>
      <c r="I117" s="568"/>
      <c r="J117" s="568"/>
      <c r="K117" s="569"/>
      <c r="L117" s="2545"/>
      <c r="M117" s="338"/>
      <c r="N117" s="2402"/>
      <c r="O117" s="1139"/>
      <c r="P117" s="1139"/>
      <c r="Q117" s="1139"/>
      <c r="R117" s="1139"/>
      <c r="S117" s="1139"/>
      <c r="T117" s="1139"/>
      <c r="U117" s="1139"/>
      <c r="V117" s="1139"/>
      <c r="W117" s="2644"/>
      <c r="X117" s="1139"/>
      <c r="Y117" s="1139"/>
      <c r="Z117" s="1139"/>
      <c r="AA117" s="1139"/>
      <c r="AB117" s="1139"/>
      <c r="AC117" s="1139"/>
      <c r="AD117" s="1139"/>
      <c r="AE117" s="1139"/>
      <c r="AF117" s="1139"/>
      <c r="AG117" s="1139"/>
      <c r="AH117" s="1139"/>
      <c r="AI117" s="1139"/>
      <c r="AJ117" s="1139"/>
      <c r="AK117" s="1139"/>
      <c r="AL117" s="1139"/>
      <c r="AM117" s="1139"/>
      <c r="AN117" s="1139"/>
      <c r="AO117" s="1139"/>
      <c r="AP117" s="1139"/>
      <c r="AQ117" s="1139"/>
      <c r="AR117" s="1139"/>
      <c r="AS117" s="1139"/>
      <c r="AT117" s="1139"/>
      <c r="AU117" s="2644"/>
      <c r="AV117" s="1139"/>
      <c r="AW117" s="1139"/>
      <c r="AX117" s="1139"/>
      <c r="AY117" s="1139"/>
      <c r="AZ117" s="1139"/>
      <c r="BA117" s="1139"/>
      <c r="BB117" s="1139"/>
      <c r="BC117" s="1139"/>
      <c r="BD117" s="1139"/>
      <c r="BE117" s="1139"/>
      <c r="BG117" s="2556"/>
      <c r="BH117" s="2556"/>
      <c r="BI117" s="2556"/>
      <c r="BJ117" s="2556"/>
      <c r="BK117" s="2556"/>
      <c r="BL117" s="2556"/>
      <c r="BS117" s="2556"/>
      <c r="BT117" s="2556"/>
      <c r="BU117" s="2556"/>
      <c r="BV117" s="2556"/>
      <c r="BW117" s="2420"/>
    </row>
    <row r="118" spans="1:75" ht="18" hidden="1" thickTop="1" thickBot="1">
      <c r="A118" s="570" t="s">
        <v>41</v>
      </c>
      <c r="C118" s="1141"/>
      <c r="D118" s="572">
        <f t="shared" ref="D118:K118" si="8">SUM(D113:D116)</f>
        <v>0</v>
      </c>
      <c r="E118" s="1194">
        <f t="shared" si="8"/>
        <v>0</v>
      </c>
      <c r="F118" s="571"/>
      <c r="G118" s="571">
        <f t="shared" si="8"/>
        <v>0</v>
      </c>
      <c r="H118" s="571">
        <f t="shared" si="8"/>
        <v>0</v>
      </c>
      <c r="I118" s="571"/>
      <c r="J118" s="571">
        <f t="shared" si="8"/>
        <v>0</v>
      </c>
      <c r="K118" s="572">
        <f t="shared" si="8"/>
        <v>0</v>
      </c>
      <c r="L118" s="2546"/>
      <c r="M118" s="338"/>
      <c r="N118" s="2402"/>
      <c r="O118" s="1139"/>
      <c r="P118" s="1139"/>
      <c r="Q118" s="1139"/>
      <c r="R118" s="1139"/>
      <c r="S118" s="1139"/>
      <c r="T118" s="1139"/>
      <c r="U118" s="1139"/>
      <c r="V118" s="1139"/>
      <c r="W118" s="2644"/>
      <c r="X118" s="1139"/>
      <c r="Y118" s="1139"/>
      <c r="Z118" s="1139"/>
      <c r="AA118" s="1139"/>
      <c r="AB118" s="1139"/>
      <c r="AC118" s="1139"/>
      <c r="AD118" s="1139"/>
      <c r="AE118" s="1139"/>
      <c r="AF118" s="1139"/>
      <c r="AG118" s="1139"/>
      <c r="AH118" s="1139"/>
      <c r="AI118" s="1139"/>
      <c r="AJ118" s="1139"/>
      <c r="AK118" s="1139"/>
      <c r="AL118" s="1139"/>
      <c r="AM118" s="1139"/>
      <c r="AN118" s="1139"/>
      <c r="AO118" s="1139"/>
      <c r="AP118" s="1139"/>
      <c r="AQ118" s="1139"/>
      <c r="AR118" s="1139"/>
      <c r="AS118" s="1139"/>
      <c r="AT118" s="1139"/>
      <c r="AU118" s="2644"/>
      <c r="AV118" s="1139"/>
      <c r="AW118" s="1139"/>
      <c r="AX118" s="1139"/>
      <c r="AY118" s="1139"/>
      <c r="AZ118" s="1139"/>
      <c r="BA118" s="1139"/>
      <c r="BB118" s="1139"/>
      <c r="BC118" s="1139"/>
      <c r="BD118" s="1139"/>
      <c r="BE118" s="1139"/>
      <c r="BG118" s="2556"/>
      <c r="BH118" s="2556"/>
      <c r="BI118" s="2556"/>
      <c r="BJ118" s="2556"/>
      <c r="BK118" s="2556"/>
      <c r="BL118" s="2556"/>
      <c r="BS118" s="2556"/>
      <c r="BT118" s="2556"/>
      <c r="BU118" s="2556"/>
      <c r="BV118" s="2556"/>
      <c r="BW118" s="2420"/>
    </row>
    <row r="119" spans="1:75" ht="6.75" hidden="1" customHeight="1" thickTop="1">
      <c r="A119" s="336"/>
      <c r="C119" s="336"/>
      <c r="D119" s="336"/>
      <c r="E119" s="336"/>
      <c r="F119" s="336"/>
      <c r="G119" s="336"/>
      <c r="H119" s="336"/>
      <c r="I119" s="336"/>
      <c r="J119" s="336"/>
      <c r="K119" s="336"/>
      <c r="L119" s="2547"/>
      <c r="M119" s="338"/>
      <c r="N119" s="2392"/>
      <c r="O119" s="336"/>
      <c r="P119" s="336"/>
      <c r="Q119" s="336"/>
      <c r="R119" s="336"/>
      <c r="S119" s="336"/>
      <c r="T119" s="336"/>
      <c r="U119" s="336"/>
      <c r="V119" s="336"/>
      <c r="W119" s="2640"/>
      <c r="X119" s="336"/>
      <c r="Y119" s="336"/>
      <c r="Z119" s="336"/>
      <c r="AA119" s="336"/>
      <c r="AB119" s="336"/>
      <c r="AC119" s="336"/>
      <c r="AD119" s="336"/>
      <c r="AE119" s="336"/>
      <c r="AF119" s="336"/>
      <c r="AG119" s="336"/>
      <c r="AH119" s="336"/>
      <c r="AI119" s="336"/>
      <c r="AJ119" s="336"/>
      <c r="AK119" s="336"/>
      <c r="AL119" s="336"/>
      <c r="AM119" s="336"/>
      <c r="AN119" s="336"/>
      <c r="AO119" s="336"/>
      <c r="AP119" s="336"/>
      <c r="AQ119" s="336"/>
      <c r="AR119" s="336"/>
      <c r="AS119" s="336"/>
      <c r="AT119" s="336"/>
      <c r="AU119" s="2640"/>
      <c r="AV119" s="336"/>
      <c r="AW119" s="336"/>
      <c r="AX119" s="336"/>
      <c r="AY119" s="336"/>
      <c r="AZ119" s="336"/>
      <c r="BA119" s="336"/>
      <c r="BB119" s="336"/>
      <c r="BC119" s="336"/>
      <c r="BD119" s="336"/>
      <c r="BE119" s="336"/>
    </row>
    <row r="120" spans="1:75" ht="4.5" hidden="1" customHeight="1">
      <c r="L120" s="2548"/>
    </row>
    <row r="121" spans="1:75" hidden="1">
      <c r="A121" s="573" t="s">
        <v>366</v>
      </c>
      <c r="E121" s="573"/>
      <c r="F121" s="573"/>
      <c r="G121" s="573"/>
      <c r="H121" s="573"/>
      <c r="I121" s="573"/>
      <c r="J121" s="573"/>
      <c r="K121" s="573"/>
      <c r="L121" s="573"/>
      <c r="M121" s="573"/>
      <c r="N121" s="2403"/>
      <c r="O121" s="573"/>
      <c r="P121" s="573"/>
      <c r="Q121" s="573"/>
      <c r="R121" s="573"/>
      <c r="S121" s="573"/>
      <c r="T121" s="573"/>
      <c r="U121" s="573"/>
      <c r="V121" s="573"/>
      <c r="W121" s="2645"/>
      <c r="X121" s="573"/>
      <c r="Y121" s="573"/>
      <c r="Z121" s="573"/>
      <c r="AA121" s="573"/>
      <c r="AB121" s="573"/>
      <c r="AC121" s="573"/>
      <c r="AD121" s="573"/>
      <c r="AE121" s="573"/>
      <c r="AF121" s="573"/>
      <c r="AG121" s="573"/>
      <c r="AH121" s="573"/>
      <c r="AI121" s="573"/>
      <c r="AJ121" s="573"/>
      <c r="AK121" s="573"/>
      <c r="AL121" s="573"/>
      <c r="AM121" s="573"/>
      <c r="AN121" s="573"/>
      <c r="AO121" s="573"/>
      <c r="AP121" s="573"/>
      <c r="AQ121" s="573"/>
      <c r="AR121" s="573"/>
      <c r="AS121" s="573"/>
      <c r="AT121" s="573"/>
      <c r="AU121" s="2645"/>
      <c r="AV121" s="573"/>
      <c r="AW121" s="573"/>
      <c r="AX121" s="573"/>
      <c r="AY121" s="573"/>
      <c r="AZ121" s="573"/>
      <c r="BA121" s="573"/>
      <c r="BB121" s="573"/>
      <c r="BC121" s="573"/>
      <c r="BD121" s="573"/>
      <c r="BE121" s="573"/>
      <c r="BF121" s="573"/>
      <c r="BG121" s="574">
        <f>Otros_Acreed_LP+AA65*0</f>
        <v>0</v>
      </c>
    </row>
    <row r="122" spans="1:75" hidden="1">
      <c r="A122" s="573" t="s">
        <v>367</v>
      </c>
      <c r="E122" s="573"/>
      <c r="F122" s="573"/>
      <c r="G122" s="573"/>
      <c r="H122" s="573"/>
      <c r="I122" s="573"/>
      <c r="J122" s="573"/>
      <c r="K122" s="573"/>
      <c r="L122" s="573"/>
      <c r="M122" s="573"/>
      <c r="N122" s="2403"/>
      <c r="O122" s="573"/>
      <c r="P122" s="573"/>
      <c r="Q122" s="573"/>
      <c r="R122" s="573"/>
      <c r="S122" s="573"/>
      <c r="T122" s="573"/>
      <c r="U122" s="573"/>
      <c r="V122" s="573"/>
      <c r="W122" s="2645"/>
      <c r="X122" s="573"/>
      <c r="Y122" s="573"/>
      <c r="Z122" s="573"/>
      <c r="AA122" s="573"/>
      <c r="AB122" s="573"/>
      <c r="AC122" s="573"/>
      <c r="AD122" s="573"/>
      <c r="AE122" s="573"/>
      <c r="AF122" s="573"/>
      <c r="AG122" s="573"/>
      <c r="AH122" s="573"/>
      <c r="AI122" s="573"/>
      <c r="AJ122" s="573"/>
      <c r="AK122" s="573"/>
      <c r="AL122" s="573"/>
      <c r="AM122" s="573"/>
      <c r="AN122" s="573"/>
      <c r="AO122" s="573"/>
      <c r="AP122" s="573"/>
      <c r="AQ122" s="573"/>
      <c r="AR122" s="573"/>
      <c r="AS122" s="573"/>
      <c r="AT122" s="573"/>
      <c r="AU122" s="2645"/>
      <c r="AV122" s="573"/>
      <c r="AW122" s="573"/>
      <c r="AX122" s="573"/>
      <c r="AY122" s="573"/>
      <c r="AZ122" s="573"/>
      <c r="BA122" s="573"/>
      <c r="BB122" s="573"/>
      <c r="BC122" s="573"/>
      <c r="BD122" s="573"/>
      <c r="BE122" s="573"/>
      <c r="BF122" s="573"/>
      <c r="BG122" s="574">
        <f>Otros_Acreed_LP*0+AA65</f>
        <v>0</v>
      </c>
    </row>
    <row r="123" spans="1:75" hidden="1">
      <c r="A123" s="573" t="s">
        <v>368</v>
      </c>
      <c r="E123" s="573"/>
      <c r="F123" s="573"/>
      <c r="G123" s="573"/>
      <c r="H123" s="573"/>
      <c r="I123" s="573"/>
      <c r="J123" s="573"/>
      <c r="K123" s="573"/>
      <c r="L123" s="573"/>
      <c r="M123" s="573"/>
      <c r="N123" s="2403"/>
      <c r="O123" s="573"/>
      <c r="P123" s="573"/>
      <c r="Q123" s="573"/>
      <c r="R123" s="573"/>
      <c r="S123" s="573"/>
      <c r="T123" s="573"/>
      <c r="U123" s="573"/>
      <c r="V123" s="573"/>
      <c r="W123" s="2645"/>
      <c r="X123" s="573"/>
      <c r="Y123" s="573"/>
      <c r="Z123" s="573"/>
      <c r="AA123" s="573"/>
      <c r="AB123" s="573"/>
      <c r="AC123" s="573"/>
      <c r="AD123" s="573"/>
      <c r="AE123" s="573"/>
      <c r="AF123" s="573"/>
      <c r="AG123" s="573"/>
      <c r="AH123" s="573"/>
      <c r="AI123" s="573"/>
      <c r="AJ123" s="573"/>
      <c r="AK123" s="573"/>
      <c r="AL123" s="573"/>
      <c r="AM123" s="573"/>
      <c r="AN123" s="573"/>
      <c r="AO123" s="573"/>
      <c r="AP123" s="573"/>
      <c r="AQ123" s="573"/>
      <c r="AR123" s="573"/>
      <c r="AS123" s="573"/>
      <c r="AT123" s="573"/>
      <c r="AU123" s="2645"/>
      <c r="AV123" s="573"/>
      <c r="AW123" s="573"/>
      <c r="AX123" s="573"/>
      <c r="AY123" s="573"/>
      <c r="AZ123" s="573"/>
      <c r="BA123" s="573"/>
      <c r="BB123" s="573"/>
      <c r="BC123" s="573"/>
      <c r="BD123" s="573"/>
      <c r="BE123" s="573"/>
      <c r="BF123" s="573"/>
      <c r="BG123" s="574">
        <f>Otros_Acreed_LP*0+AA50+AA65*0</f>
        <v>0</v>
      </c>
    </row>
    <row r="124" spans="1:75" hidden="1"/>
  </sheetData>
  <sheetProtection sheet="1" formatColumns="0" formatRows="0"/>
  <mergeCells count="78">
    <mergeCell ref="AG18:AG19"/>
    <mergeCell ref="AH18:AH19"/>
    <mergeCell ref="Q35:U35"/>
    <mergeCell ref="Q36:Q37"/>
    <mergeCell ref="R36:R37"/>
    <mergeCell ref="S36:S37"/>
    <mergeCell ref="T36:T37"/>
    <mergeCell ref="U36:U37"/>
    <mergeCell ref="H103:H104"/>
    <mergeCell ref="M8:O8"/>
    <mergeCell ref="AV8:AW8"/>
    <mergeCell ref="AD9:AH9"/>
    <mergeCell ref="AO9:AS9"/>
    <mergeCell ref="Y11:AB11"/>
    <mergeCell ref="Y35:AB35"/>
    <mergeCell ref="J103:J104"/>
    <mergeCell ref="AE23:AE24"/>
    <mergeCell ref="AF23:AF24"/>
    <mergeCell ref="Q24:U24"/>
    <mergeCell ref="Q25:Q26"/>
    <mergeCell ref="R25:R26"/>
    <mergeCell ref="S25:S26"/>
    <mergeCell ref="T25:T26"/>
    <mergeCell ref="U25:U26"/>
    <mergeCell ref="A8:E8"/>
    <mergeCell ref="G8:G9"/>
    <mergeCell ref="A103:A104"/>
    <mergeCell ref="D103:D104"/>
    <mergeCell ref="E103:E104"/>
    <mergeCell ref="G103:G104"/>
    <mergeCell ref="K103:K104"/>
    <mergeCell ref="AY8:AZ8"/>
    <mergeCell ref="AL35:AM35"/>
    <mergeCell ref="AG23:AH24"/>
    <mergeCell ref="AG25:AH25"/>
    <mergeCell ref="AR23:AS24"/>
    <mergeCell ref="AR25:AS25"/>
    <mergeCell ref="AO22:AS22"/>
    <mergeCell ref="AO23:AO24"/>
    <mergeCell ref="AP23:AP24"/>
    <mergeCell ref="AQ23:AQ24"/>
    <mergeCell ref="AD22:AH22"/>
    <mergeCell ref="AD23:AD24"/>
    <mergeCell ref="AD17:AH17"/>
    <mergeCell ref="AD48:AH48"/>
    <mergeCell ref="Q8:U9"/>
    <mergeCell ref="B4:U4"/>
    <mergeCell ref="B5:U5"/>
    <mergeCell ref="BB58:BC58"/>
    <mergeCell ref="AA30:AB30"/>
    <mergeCell ref="AV30:AW30"/>
    <mergeCell ref="AA31:AB31"/>
    <mergeCell ref="AV58:AW58"/>
    <mergeCell ref="AY58:AZ58"/>
    <mergeCell ref="BB30:BC30"/>
    <mergeCell ref="AL30:AM30"/>
    <mergeCell ref="AA58:AB58"/>
    <mergeCell ref="AL58:AM58"/>
    <mergeCell ref="AD44:AH44"/>
    <mergeCell ref="AO44:AS44"/>
    <mergeCell ref="Y4:AS4"/>
    <mergeCell ref="Y5:AS5"/>
    <mergeCell ref="AO48:AS48"/>
    <mergeCell ref="BB8:BC8"/>
    <mergeCell ref="AA8:AH8"/>
    <mergeCell ref="AL8:AS8"/>
    <mergeCell ref="AP18:AP19"/>
    <mergeCell ref="AQ18:AQ19"/>
    <mergeCell ref="AR18:AR19"/>
    <mergeCell ref="AS18:AS19"/>
    <mergeCell ref="AL11:AM11"/>
    <mergeCell ref="AO17:AS17"/>
    <mergeCell ref="AO18:AO19"/>
    <mergeCell ref="AY30:AZ30"/>
    <mergeCell ref="AL31:AM31"/>
    <mergeCell ref="AD18:AD19"/>
    <mergeCell ref="AE18:AE19"/>
    <mergeCell ref="AF18:AF19"/>
  </mergeCells>
  <phoneticPr fontId="9" type="noConversion"/>
  <conditionalFormatting sqref="C93:O93 C95:O95 E84:O89 C84:C89 BB60:BC65 BB69:BC69 AY60:AZ65 AY69:AZ69 AV60:AW65 AV69:AW69 AT84:BF84 AA60:AJ65 AL60:AS65 AA69:AJ69 AL69:AS69 R95:BT95 R85:BF89 R93:BF93 R84:AK84">
    <cfRule type="cellIs" dxfId="156" priority="83" stopIfTrue="1" operator="equal">
      <formula>0</formula>
    </cfRule>
  </conditionalFormatting>
  <conditionalFormatting sqref="BI59 BL66:BL68 BO66:BO68 BI66:BI68 BI62:BI64 BL70:BL72 BO70:BO72 BI70:BI72">
    <cfRule type="expression" dxfId="155" priority="71" stopIfTrue="1">
      <formula>AND(OR(#REF!=0,BI59=0),NOT(AND(#REF!=0,BI59=0)))</formula>
    </cfRule>
  </conditionalFormatting>
  <conditionalFormatting sqref="BI58 BI13:BI21 BI23:BI26">
    <cfRule type="expression" dxfId="154" priority="167" stopIfTrue="1">
      <formula>AND(OR(#REF!=0,BI13=0),NOT(AND(#REF!=0,BI13=0)))</formula>
    </cfRule>
  </conditionalFormatting>
  <conditionalFormatting sqref="BL13:BL21 BL23:BL26">
    <cfRule type="expression" dxfId="153" priority="45" stopIfTrue="1">
      <formula>AND(OR(#REF!=0,BL13=0),NOT(AND(#REF!=0,BL13=0)))</formula>
    </cfRule>
  </conditionalFormatting>
  <conditionalFormatting sqref="BO13:BO21 BO23:BO26 BR24:BR27">
    <cfRule type="expression" dxfId="152" priority="44" stopIfTrue="1">
      <formula>AND(OR(#REF!=0,BO13=0),NOT(AND(#REF!=0,BO13=0)))</formula>
    </cfRule>
  </conditionalFormatting>
  <conditionalFormatting sqref="BR14:BR22">
    <cfRule type="expression" dxfId="151" priority="43" stopIfTrue="1">
      <formula>AND(OR(#REF!=0,BR14=0),NOT(AND(#REF!=0,BR14=0)))</formula>
    </cfRule>
  </conditionalFormatting>
  <conditionalFormatting sqref="BL59 BL62:BL64">
    <cfRule type="expression" dxfId="150" priority="41" stopIfTrue="1">
      <formula>AND(OR(#REF!=0,BL59=0),NOT(AND(#REF!=0,BL59=0)))</formula>
    </cfRule>
  </conditionalFormatting>
  <conditionalFormatting sqref="BL58">
    <cfRule type="expression" dxfId="149" priority="42" stopIfTrue="1">
      <formula>AND(OR(#REF!=0,BL58=0),NOT(AND(#REF!=0,BL58=0)))</formula>
    </cfRule>
  </conditionalFormatting>
  <conditionalFormatting sqref="BO59 BO62:BO64">
    <cfRule type="expression" dxfId="148" priority="39" stopIfTrue="1">
      <formula>AND(OR(#REF!=0,BO59=0),NOT(AND(#REF!=0,BO59=0)))</formula>
    </cfRule>
  </conditionalFormatting>
  <conditionalFormatting sqref="BO58">
    <cfRule type="expression" dxfId="147" priority="40" stopIfTrue="1">
      <formula>AND(OR(#REF!=0,BO58=0),NOT(AND(#REF!=0,BO58=0)))</formula>
    </cfRule>
  </conditionalFormatting>
  <conditionalFormatting sqref="BR59 BR62:BR64">
    <cfRule type="expression" dxfId="146" priority="37" stopIfTrue="1">
      <formula>AND(OR(#REF!=0,BR59=0),NOT(AND(#REF!=0,BR59=0)))</formula>
    </cfRule>
  </conditionalFormatting>
  <conditionalFormatting sqref="BR58">
    <cfRule type="expression" dxfId="145" priority="38" stopIfTrue="1">
      <formula>AND(OR(#REF!=0,BR58=0),NOT(AND(#REF!=0,BR58=0)))</formula>
    </cfRule>
  </conditionalFormatting>
  <conditionalFormatting sqref="E90:O90 C90 AA66 R90:BF90">
    <cfRule type="cellIs" dxfId="144" priority="29" stopIfTrue="1" operator="notEqual">
      <formula>#REF!</formula>
    </cfRule>
  </conditionalFormatting>
  <conditionalFormatting sqref="AV66">
    <cfRule type="cellIs" dxfId="143" priority="26" stopIfTrue="1" operator="notEqual">
      <formula>#REF!</formula>
    </cfRule>
  </conditionalFormatting>
  <conditionalFormatting sqref="BB66">
    <cfRule type="cellIs" dxfId="142" priority="24" stopIfTrue="1" operator="notEqual">
      <formula>#REF!</formula>
    </cfRule>
  </conditionalFormatting>
  <conditionalFormatting sqref="AL66">
    <cfRule type="cellIs" dxfId="141" priority="27" stopIfTrue="1" operator="notEqual">
      <formula>#REF!</formula>
    </cfRule>
  </conditionalFormatting>
  <conditionalFormatting sqref="AY66">
    <cfRule type="cellIs" dxfId="140" priority="25" stopIfTrue="1" operator="notEqual">
      <formula>#REF!</formula>
    </cfRule>
  </conditionalFormatting>
  <conditionalFormatting sqref="AA44">
    <cfRule type="expression" dxfId="139" priority="22" stopIfTrue="1">
      <formula>AA44&gt;0</formula>
    </cfRule>
    <cfRule type="colorScale" priority="23">
      <colorScale>
        <cfvo type="num" val="&quot;&gt;0&quot;"/>
        <cfvo type="max"/>
        <color rgb="FFFF0000"/>
        <color rgb="FFFFEF9C"/>
      </colorScale>
    </cfRule>
  </conditionalFormatting>
  <conditionalFormatting sqref="AL44">
    <cfRule type="expression" dxfId="138" priority="20" stopIfTrue="1">
      <formula>AL44&gt;0</formula>
    </cfRule>
    <cfRule type="colorScale" priority="21">
      <colorScale>
        <cfvo type="num" val="&quot;&gt;0&quot;"/>
        <cfvo type="max"/>
        <color rgb="FFFF0000"/>
        <color rgb="FFFFEF9C"/>
      </colorScale>
    </cfRule>
  </conditionalFormatting>
  <conditionalFormatting sqref="AV42">
    <cfRule type="expression" dxfId="137" priority="18" stopIfTrue="1">
      <formula>AV42&gt;0</formula>
    </cfRule>
    <cfRule type="colorScale" priority="19">
      <colorScale>
        <cfvo type="num" val="&quot;&gt;0&quot;"/>
        <cfvo type="max"/>
        <color rgb="FFFF0000"/>
        <color rgb="FFFFEF9C"/>
      </colorScale>
    </cfRule>
  </conditionalFormatting>
  <conditionalFormatting sqref="AY42">
    <cfRule type="expression" dxfId="136" priority="16" stopIfTrue="1">
      <formula>AY42&gt;0</formula>
    </cfRule>
    <cfRule type="colorScale" priority="17">
      <colorScale>
        <cfvo type="num" val="&quot;&gt;0&quot;"/>
        <cfvo type="max"/>
        <color rgb="FFFF0000"/>
        <color rgb="FFFFEF9C"/>
      </colorScale>
    </cfRule>
  </conditionalFormatting>
  <conditionalFormatting sqref="BB42">
    <cfRule type="expression" dxfId="135" priority="14" stopIfTrue="1">
      <formula>BB42&gt;0</formula>
    </cfRule>
    <cfRule type="colorScale" priority="15">
      <colorScale>
        <cfvo type="num" val="&quot;&gt;0&quot;"/>
        <cfvo type="max"/>
        <color rgb="FFFF0000"/>
        <color rgb="FFFFEF9C"/>
      </colorScale>
    </cfRule>
  </conditionalFormatting>
  <conditionalFormatting sqref="BD64:BE64 O24 R64:V64 E64:O64 Z64 X64">
    <cfRule type="expression" dxfId="134" priority="301" stopIfTrue="1">
      <formula>E24&gt;0</formula>
    </cfRule>
    <cfRule type="colorScale" priority="302">
      <colorScale>
        <cfvo type="num" val="&quot;&gt;0&quot;"/>
        <cfvo type="max"/>
        <color rgb="FFFF0000"/>
        <color rgb="FFFFEF9C"/>
      </colorScale>
    </cfRule>
  </conditionalFormatting>
  <conditionalFormatting sqref="AB23:AB26 AB13:AB21">
    <cfRule type="expression" dxfId="133" priority="361" stopIfTrue="1">
      <formula>AND(OR(AA13=0,AB13=0),NOT(AND(AA13=0,BI13=0)))</formula>
    </cfRule>
  </conditionalFormatting>
  <conditionalFormatting sqref="BC23:BC26 BC13:BC21 AZ23:AZ26 AZ13:AZ21 AW23:AW26 AW13:AW21">
    <cfRule type="expression" dxfId="132" priority="363" stopIfTrue="1">
      <formula>AND(OR(AV13=0,AW13=0),NOT(AND(AV13=0,BO13=0)))</formula>
    </cfRule>
  </conditionalFormatting>
  <conditionalFormatting sqref="AM23:AM26 AM13:AM21">
    <cfRule type="expression" dxfId="131" priority="398" stopIfTrue="1">
      <formula>AND(OR(AL13=0,AM13=0),NOT(AND(AL13=0,BL13=0)))</formula>
    </cfRule>
  </conditionalFormatting>
  <dataValidations count="3">
    <dataValidation allowBlank="1" showInputMessage="1" sqref="BS9:BT12 BR13 BF36:BF57 BH39:BH44 AA51 BI69 BI57 BL69 BO69 BR69 BK39:BK44 BO55:BQ55 BR55:BR57 BS51:BT55 BH51:BR54 BM39:BT44 BM45 BP45 BS45 A82:A95 Q49:Q54 D82 BU74:KO124 C82:C91 C93:D93 BG125:KO65545 A97:A65545 Q8 AL85:AS100 C74:D74 BG1:BG5 BI9:BQ9 O21 C22:L22 C95:D100 E73:O74 C9:F12 G8 P42:P45 BR23 BI27:BI50 BR28:BR38 BO27:BO38 BL27:BL50 M43 O9 BF7:BF12 R42:U56 G11 I48:O48 O15 E60:O60 C68:C69 E68:O69 A61 O25 E65:O65 A74 A68:A69 N39 Z65 P30:Q30 BQ101:BT119 M38:M39 I8:M12 O28 N11:O11 O18 Q25:U25 R73:AK74 N82:O65545 E82:M100 E120:M65545 C101:M119 BG120:BT124 AA37:AA38 AA9:AB9 BG10:BQ12 BF28:BH33 Y54:Z56 AA32:AB32 BJ28:BK33 AA29:AB29 BG39:BG45 AA30:AA31 BG47 BI73 AA58 BG49:BG55 BJ49:BJ50 BD60:BF61 AA42 BD68:BE69 AL40 BR73 AA40 BI74:BT74 BI22 AM7:AS7 BM28:BN33 AL32:AN33 BJ39:BJ45 AT22:BF22 AL30:AL31 BJ47 AL58 AV38 BI60:BI61 AY43 BI65 Y35:Y42 AL51 Y6:AX6 BP28:BQ33 BL22 BO73 AT29:AU33 AW9 AV29:AW29 AV31:AW33 AV30 BL60:BL61 AU58:AV58 BL73 AV51 BL57 AV40 BL65 AY38 BR46:BR48 AY58 AY35:AZ35 BO65 AV35:AW35 BO57 BB38 BO60:BO61 AY40 AY51 BO22 BO46:BO48 AX7:AX8 BS28:BT33 AX29:AX33 AZ9 AY29:AZ29 AY31:AZ33 AY30 AI27:AN27 BA7:BA8 BD7:BE8 BA29:BA33 BD29:BE33 BB29:BC29 BB31:BC33 BB30 BM49:BT50 BB58 BD36:BE56 BR60:BR61 BB40 BR65 AB37 BB51 AO23:AR23 Y62 BG95:BT100 BB59:BC70 BD65:BF65 AY59:AZ70 AV59:AW70 AT73:BF74 AC58:AJ70 AT82:BF100 BA48:BA51 I49:P56 AY1:BF6 Y1:AX3 Y4:Y5 AD18:AH18 AT7:AU8 AV7:AV9 AW7 AY7:AY9 AZ7 BB7:BB9 BC7 BC9 AT36:AU40 Z38:Z42 AL42 AA45 AL45 AV43 W66:W69 AB7:AH7 AL47:AL48 BB43 AD9 AI7:AL8 Z29:Z32 AD50:AH51 AD23:AG23 AA47:AA48 AX36:AX45 AX48:AX51 BB45 BB48 AY45 AY48 AV45 AV48 BA36:BA45 AM70:AS70 AT44:AU51 Y43:Z51 AD41:AH43 AL35 AT27:BF27 AI36:AK40 AC29:AK32 AI33:AK33 AD44 AL37:AM37 BB35:BC35 AC38:AC51 AO45:AS45 Y9:Y32 AD17 AU59:AU68 Z22:AD22 Q35 Z27:AC27 AD45:AH45 AI22:AO22 AL29:AN29 AO18:AS18 AO29:AS32 AO44 AO17 E1:U3 E6:U7 V1:X6 V7:AA8 R82:AK100 AJ44:AJ53 R29:X31 P32:X33 P109:BE119 P120:BF65545 R101:BE108 B4:B5 AP11:AS11 AL11 BH1:BN7 BO1:BT8 BU1:BV73 BW1:KO72 M13:M15 BG7:BG8 Y53 AA59:AB67 AB70 AA53 W36:W59 AL53 AL59:AS69 AI44:AI51 AK44:AK51 V27:X27 M27:M28 M23:M25 AL9:AO9 V22:X22 M20:M21 M17:M18 A48:A57 I44:L45 C39:G39 A41 A38:A39 A36 AU55:AU57 Q42:Q44 M30:M31 M40:U40 S39:U39 L42:N42 Q24 G34 F33:F34 A33:A34 C34:E34 A30:A31 C31:G31 H29:L33 A24:A28 A1:A22 C28:I28 J27:L27 E41:G41 L36:O36 E43:G44 A43:A44 E46:G46 E48:H56 A46 H46:L47 P47 M45:O46 O43 E36:J36 H42:J42 H37:J39 L37:L39 O31 V36:V56 X36:X56 R68:V69 X68:AB69 R60:Z60 E61:Z61 R65:X65 W62:W64 AA55:AT56 AV55:BC56 Q36:U36 AD48 AO48"/>
    <dataValidation allowBlank="1" showErrorMessage="1" sqref="BR14:BR22 BB34:BC34 Q27:U27 N38 N27 C33:E33 G33 C13:L21 J23:L26 N17 N13:N15 N23 N20 Q38:U38 S34:U34 Z23:Z26 AA36:AB36 Z36:Z37 BI13:BI21 AY34:AZ34 BL13:BL21 AI34:AK35 AX34:AX35 BC23:BE26 AW23:AX26 BO13:BO21 AZ23:BA26 BA34:BA35 BD34:BE35 AD36:AH36 AO46:AS46 E30:G30 AT34:AW34 J28:L28 AT13:BF21 AC36:AC37 Z13:AC21 AT28:BE28 AD20:AH20 AD49:AH49 AB23:AC26 AI23:AK26 AO49:AS49 AD46:AH46 Z28:AC28 AI28:AN28 AI13:AN21 AL34:AN34 AM23:AN26 AT23:AU26 AO36:AS36 AO20:AS20 AD25:AG25 AO25:AR25 V34:X35 V23:X26 S28:X28 S22:U23 N30 K36:K43 D24:I27 E38:G38 S13:X21 H34:L35"/>
    <dataValidation allowBlank="1" sqref="BR66:BR68 BI66:BI68 BL66:BL68 BO66:BO68 C38:D38 C30:D30 C24:C27 BR24:BR27 BB23:BB26 BF34:BF35 O13:O14 E58:O59 E62:O64 E70:O72 O20 O23:O24 O27 O38:O39 O17 AA23:AA26 BF23:BF26 AA39 BD58:BF59 BR70:BR72 AL23:AL26 BI23:BI26 BI62:BI64 AL38:AL39 BI58:BI59 BI70:BI72 AV23:AV26 BL23:BL26 BL70:BL72 BL62:BL64 AV36:AV37 BL58:BL59 AY36:AY37 BO58:BO59 BO62:BO64 BO70:BO72 AY23:AY26 BO23:BO26 BR62:BR64 BB36:BB37 BR58:BR59 BD62:BF64 AA49:AA50 BD70:BF72 AA71:AK72 AT71:BC72 AL71:AS71 AA43:AA44 AA41 AL43:AL44 AL41 AV41:AV42 AV39 AY41:AY42 AY39 BB41:BB42 BB39 BB44 BB49:BB50 AY44 AY49:AY50 AV44 AV49:AV50 AL46 AL49:AL50 AA46 Z62:Z64 Y63:Y65 X58:Z59 O30 R70:Z72 R58:V59 R62:V64 X62:X64"/>
  </dataValidations>
  <printOptions horizontalCentered="1" verticalCentered="1"/>
  <pageMargins left="0.59055118110236227" right="0.19685039370078741" top="0.62992125984251968" bottom="0.39370078740157483" header="0.27559055118110237" footer="0.31496062992125984"/>
  <pageSetup paperSize="9" scale="31" fitToWidth="2" orientation="landscape" horizontalDpi="300" verticalDpi="300" r:id="rId1"/>
  <headerFooter alignWithMargins="0">
    <oddFooter>&amp;A</oddFooter>
  </headerFooter>
  <rowBreaks count="2" manualBreakCount="2">
    <brk id="54" max="63" man="1"/>
    <brk id="94" max="16" man="1"/>
  </rowBreaks>
  <colBreaks count="3" manualBreakCount="3">
    <brk id="22" max="1048575" man="1"/>
    <brk id="46" max="53" man="1"/>
    <brk id="64" max="53"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T55"/>
  <sheetViews>
    <sheetView topLeftCell="A13" zoomScale="65" zoomScaleNormal="65" zoomScaleSheetLayoutView="50" workbookViewId="0">
      <selection activeCell="W17" sqref="W17"/>
    </sheetView>
  </sheetViews>
  <sheetFormatPr baseColWidth="10" defaultColWidth="11.1640625" defaultRowHeight="15.75"/>
  <cols>
    <col min="1" max="1" width="73.83203125" style="338" customWidth="1"/>
    <col min="2" max="2" width="25.6640625" style="336" customWidth="1"/>
    <col min="3" max="3" width="19.33203125" style="336" customWidth="1"/>
    <col min="4" max="4" width="4.1640625" style="336" customWidth="1"/>
    <col min="5" max="5" width="34.1640625" style="336" hidden="1" customWidth="1"/>
    <col min="6" max="6" width="27.5" style="336" hidden="1" customWidth="1"/>
    <col min="7" max="7" width="5.1640625" style="394" customWidth="1"/>
    <col min="8" max="8" width="22.6640625" style="336" customWidth="1"/>
    <col min="9" max="9" width="22.5" style="338" customWidth="1"/>
    <col min="10" max="11" width="20.33203125" style="338" customWidth="1"/>
    <col min="12" max="12" width="6.33203125" style="338" customWidth="1"/>
    <col min="13" max="13" width="5.5" style="338" customWidth="1"/>
    <col min="14" max="14" width="22.6640625" style="338" hidden="1" customWidth="1"/>
    <col min="15" max="15" width="3.1640625" style="338" hidden="1" customWidth="1"/>
    <col min="16" max="16" width="19" style="338" hidden="1" customWidth="1"/>
    <col min="17" max="17" width="18.83203125" style="338" hidden="1" customWidth="1"/>
    <col min="18" max="18" width="19" style="338" hidden="1" customWidth="1"/>
    <col min="19" max="19" width="18.83203125" style="338" hidden="1" customWidth="1"/>
    <col min="20" max="20" width="18.6640625" style="338" hidden="1" customWidth="1"/>
    <col min="21" max="22" width="11.1640625" style="338"/>
    <col min="23" max="23" width="45.33203125" style="338" customWidth="1"/>
    <col min="24" max="24" width="15" style="338" customWidth="1"/>
    <col min="25" max="25" width="20.5" style="338" customWidth="1"/>
    <col min="26" max="26" width="21.6640625" style="338" customWidth="1"/>
    <col min="27" max="27" width="25.33203125" style="338" customWidth="1"/>
    <col min="28" max="28" width="11.1640625" style="338" customWidth="1"/>
    <col min="29" max="29" width="22.5" style="338" customWidth="1"/>
    <col min="30" max="16384" width="11.1640625" style="338"/>
  </cols>
  <sheetData>
    <row r="1" spans="1:20" ht="14.25" customHeight="1">
      <c r="A1" s="333" t="str">
        <f>IF('1.Datos Básicos. Product-Serv'!B5=0,"",'1.Datos Básicos. Product-Serv'!B5)</f>
        <v/>
      </c>
      <c r="B1" s="334"/>
      <c r="C1" s="334"/>
      <c r="D1" s="335"/>
      <c r="G1" s="337"/>
    </row>
    <row r="2" spans="1:20" ht="14.25" customHeight="1">
      <c r="A2" s="339"/>
      <c r="B2" s="334"/>
      <c r="C2" s="334"/>
      <c r="D2" s="335"/>
      <c r="E2" s="340"/>
      <c r="F2" s="340"/>
      <c r="G2" s="341"/>
      <c r="H2" s="340"/>
      <c r="I2" s="340"/>
      <c r="J2" s="342"/>
      <c r="K2" s="340"/>
    </row>
    <row r="3" spans="1:20" ht="24" customHeight="1">
      <c r="A3" s="434" t="s">
        <v>99</v>
      </c>
      <c r="C3" s="435" t="str">
        <f>"Arranque"&amp;Año_comienzo_Plan</f>
        <v>Arranque</v>
      </c>
      <c r="D3" s="335"/>
      <c r="G3" s="341"/>
      <c r="H3" s="345" t="s">
        <v>444</v>
      </c>
      <c r="N3" s="345" t="s">
        <v>445</v>
      </c>
    </row>
    <row r="4" spans="1:20" ht="12.75" customHeight="1" thickBot="1">
      <c r="A4" s="343"/>
      <c r="C4" s="344"/>
      <c r="D4" s="335"/>
      <c r="E4" s="346"/>
      <c r="F4" s="347"/>
      <c r="G4" s="348"/>
    </row>
    <row r="5" spans="1:20" ht="42.75" customHeight="1" thickTop="1" thickBot="1">
      <c r="A5" s="339"/>
      <c r="B5" s="334"/>
      <c r="C5" s="334"/>
      <c r="D5" s="335"/>
      <c r="E5" s="3699" t="s">
        <v>96</v>
      </c>
      <c r="F5" s="3699"/>
      <c r="G5" s="341"/>
      <c r="H5" s="3700" t="s">
        <v>94</v>
      </c>
      <c r="I5" s="3701"/>
      <c r="J5" s="3701"/>
      <c r="K5" s="3702"/>
      <c r="L5" s="349"/>
      <c r="M5" s="349"/>
      <c r="N5" s="3696" t="s">
        <v>441</v>
      </c>
      <c r="O5" s="3697"/>
      <c r="P5" s="3697"/>
      <c r="Q5" s="3697"/>
      <c r="R5" s="3698"/>
      <c r="S5" s="1078"/>
      <c r="T5" s="1079"/>
    </row>
    <row r="6" spans="1:20" ht="84" customHeight="1" thickTop="1" thickBot="1">
      <c r="A6" s="3190" t="s">
        <v>93</v>
      </c>
      <c r="B6" s="3191" t="s">
        <v>125</v>
      </c>
      <c r="C6" s="3189" t="s">
        <v>104</v>
      </c>
      <c r="E6" s="522" t="str">
        <f>"Valor de los Activos según Balance de Cierre del Ejerc. "&amp;Año_Com_Ejerc_0</f>
        <v>Valor de los Activos según Balance de Cierre del Ejerc. -1</v>
      </c>
      <c r="F6" s="523" t="str">
        <f>"Amortización Acumulada según Balance de Cierre del Ejerc. "&amp;Año_Com_Ejerc_0</f>
        <v>Amortización Acumulada según Balance de Cierre del Ejerc. -1</v>
      </c>
      <c r="G6" s="338"/>
      <c r="H6" s="2440" t="s">
        <v>601</v>
      </c>
      <c r="I6" s="2441" t="s">
        <v>602</v>
      </c>
      <c r="J6" s="2442" t="s">
        <v>221</v>
      </c>
      <c r="K6" s="2443" t="s">
        <v>222</v>
      </c>
      <c r="L6" s="349"/>
      <c r="M6" s="349"/>
      <c r="N6" s="3703" t="s">
        <v>440</v>
      </c>
      <c r="O6" s="1069"/>
      <c r="P6" s="3692" t="str">
        <f>"Cuota Anual Amortización, 1º ejerc. "&amp;'1.Datos Básicos. Product-Serv'!B11</f>
        <v>Cuota Anual Amortización, 1º ejerc. 0</v>
      </c>
      <c r="Q6" s="3692" t="str">
        <f>"Cuota Anual Amortización, 2º ejerc. "&amp;'1.Datos Básicos. Product-Serv'!E11</f>
        <v>Cuota Anual Amortización, 2º ejerc. 1</v>
      </c>
      <c r="R6" s="3694" t="str">
        <f>"Cuota Anual Amortización, 3º ejerc. "&amp;'1.Datos Básicos. Product-Serv'!F11</f>
        <v>Cuota Anual Amortización, 3º ejerc. 2</v>
      </c>
      <c r="S6" s="3692" t="str">
        <f>"Cuota Anual Amortización, 4º ejerc. "&amp;'1.Datos Básicos. Product-Serv'!G11</f>
        <v>Cuota Anual Amortización, 4º ejerc. 3</v>
      </c>
      <c r="T6" s="3694" t="str">
        <f>"Cuota Anual Amortización, 5º ejerc. "&amp;'1.Datos Básicos. Product-Serv'!H11</f>
        <v>Cuota Anual Amortización, 5º ejerc. 4</v>
      </c>
    </row>
    <row r="7" spans="1:20" ht="23.25" customHeight="1" thickTop="1" thickBot="1">
      <c r="A7" s="2444" t="s">
        <v>107</v>
      </c>
      <c r="B7" s="2445">
        <f>B8+B19+B25+B28+B30+(B18+B24+B27)</f>
        <v>0</v>
      </c>
      <c r="C7" s="2446" t="str">
        <f t="shared" ref="C7:C43" si="0">IF($B$43=0,"",B7/$B$43)</f>
        <v/>
      </c>
      <c r="E7" s="410">
        <f>SUM(E8,E19,E28,E25,E30)</f>
        <v>0</v>
      </c>
      <c r="F7" s="411">
        <f>SUM(F8,F19,F25,F28,F30)</f>
        <v>0</v>
      </c>
      <c r="G7" s="350"/>
      <c r="H7" s="2447">
        <f>SUM(H8,H19,H25,H28,H30)</f>
        <v>0</v>
      </c>
      <c r="I7" s="2448">
        <f>SUM(I8,I19,I25,I28,I30)</f>
        <v>0</v>
      </c>
      <c r="J7" s="2449"/>
      <c r="K7" s="2450">
        <f>SUM(K8,K19,K25,K30)</f>
        <v>0</v>
      </c>
      <c r="L7" s="349"/>
      <c r="M7" s="349"/>
      <c r="N7" s="3704"/>
      <c r="O7" s="349"/>
      <c r="P7" s="3693"/>
      <c r="Q7" s="3693"/>
      <c r="R7" s="3695"/>
      <c r="S7" s="3693"/>
      <c r="T7" s="3695"/>
    </row>
    <row r="8" spans="1:20" ht="18.75" customHeight="1" thickTop="1">
      <c r="A8" s="351" t="s">
        <v>355</v>
      </c>
      <c r="B8" s="352">
        <f>SUM(B9:B17)</f>
        <v>0</v>
      </c>
      <c r="C8" s="353" t="str">
        <f t="shared" si="0"/>
        <v/>
      </c>
      <c r="E8" s="354">
        <f>SUM(E9+E10+E11+E12+E13+E14+E15+E16+E17)</f>
        <v>0</v>
      </c>
      <c r="F8" s="355">
        <f>SUM(F9:F17)</f>
        <v>0</v>
      </c>
      <c r="G8" s="350"/>
      <c r="H8" s="1524">
        <f>SUM(H9:H17)</f>
        <v>0</v>
      </c>
      <c r="I8" s="1525">
        <f>SUM(I9:I17)</f>
        <v>0</v>
      </c>
      <c r="J8" s="1526"/>
      <c r="K8" s="1527">
        <f>SUM(K9:K17)</f>
        <v>0</v>
      </c>
      <c r="L8" s="357"/>
      <c r="M8" s="349"/>
      <c r="N8" s="1051"/>
      <c r="O8" s="349"/>
      <c r="P8" s="1057">
        <f>SUM(P10:P17)</f>
        <v>0</v>
      </c>
      <c r="Q8" s="1057">
        <f>SUM(Q10:Q17)</f>
        <v>0</v>
      </c>
      <c r="R8" s="1051">
        <f>SUM(R10:R17)</f>
        <v>0</v>
      </c>
      <c r="S8" s="1051">
        <f>SUM(S10:S17)</f>
        <v>0</v>
      </c>
      <c r="T8" s="1051">
        <f>SUM(T10:T17)</f>
        <v>0</v>
      </c>
    </row>
    <row r="9" spans="1:20" s="360" customFormat="1" ht="18.75" customHeight="1">
      <c r="A9" s="451" t="s">
        <v>686</v>
      </c>
      <c r="B9" s="358">
        <f>IF(Consolidación?="SI",'(0) 1a. Activos de Partida'!E9+H9+I9,'(0) 1a. Activos de Partida'!H9+'(0) 1a. Activos de Partida'!I9)</f>
        <v>0</v>
      </c>
      <c r="C9" s="359" t="str">
        <f t="shared" si="0"/>
        <v/>
      </c>
      <c r="E9" s="361"/>
      <c r="F9" s="362"/>
      <c r="G9" s="363"/>
      <c r="H9" s="1528">
        <f>'7. Plan Invers-Financ (1º,2º)'!C13</f>
        <v>0</v>
      </c>
      <c r="I9" s="1529">
        <f>'7. Plan Invers-Financ (1º,2º)'!D13</f>
        <v>0</v>
      </c>
      <c r="J9" s="1530">
        <f>'7. Plan Invers-Financ (1º,2º)'!E13</f>
        <v>0.21</v>
      </c>
      <c r="K9" s="1531">
        <f t="shared" ref="K9:K17" si="1">I9*J9</f>
        <v>0</v>
      </c>
      <c r="L9" s="364"/>
      <c r="M9" s="365"/>
      <c r="N9" s="1071">
        <v>0</v>
      </c>
      <c r="O9" s="365"/>
      <c r="P9" s="1058"/>
      <c r="Q9" s="1058"/>
      <c r="R9" s="1060"/>
      <c r="S9" s="1058"/>
      <c r="T9" s="1060"/>
    </row>
    <row r="10" spans="1:20" s="360" customFormat="1" ht="18.75" customHeight="1">
      <c r="A10" s="451" t="s">
        <v>699</v>
      </c>
      <c r="B10" s="358">
        <f>IF(Consolidación?="SI",'(0) 1a. Activos de Partida'!E10-F10*0+H10+I10,'(0) 1a. Activos de Partida'!H10+'(0) 1a. Activos de Partida'!I10)</f>
        <v>0</v>
      </c>
      <c r="C10" s="366" t="str">
        <f t="shared" si="0"/>
        <v/>
      </c>
      <c r="E10" s="361"/>
      <c r="F10" s="367"/>
      <c r="G10" s="350"/>
      <c r="H10" s="1528">
        <f>'7. Plan Invers-Financ (1º,2º)'!C14</f>
        <v>0</v>
      </c>
      <c r="I10" s="1529">
        <f>'7. Plan Invers-Financ (1º,2º)'!D14</f>
        <v>0</v>
      </c>
      <c r="J10" s="1530">
        <f>'7. Plan Invers-Financ (1º,2º)'!E14</f>
        <v>0.21</v>
      </c>
      <c r="K10" s="1531">
        <f t="shared" si="1"/>
        <v>0</v>
      </c>
      <c r="L10" s="364"/>
      <c r="M10" s="365"/>
      <c r="N10" s="1230">
        <f>'Aux. Amortiz Contable'!C10</f>
        <v>33</v>
      </c>
      <c r="O10" s="365"/>
      <c r="P10" s="1072">
        <f>'Aux. Amortiz Contable'!I10</f>
        <v>0</v>
      </c>
      <c r="Q10" s="1072">
        <f>'Aux. Amortiz Contable'!K10</f>
        <v>0</v>
      </c>
      <c r="R10" s="1073">
        <f>'Aux. Amortiz Contable'!M10</f>
        <v>0</v>
      </c>
      <c r="S10" s="1072">
        <f>'Aux. Amortiz Contable'!O10</f>
        <v>0</v>
      </c>
      <c r="T10" s="1073">
        <f>'Aux. Amortiz Contable'!Q10</f>
        <v>0</v>
      </c>
    </row>
    <row r="11" spans="1:20" s="368" customFormat="1" ht="18" customHeight="1">
      <c r="A11" s="2439" t="s">
        <v>687</v>
      </c>
      <c r="B11" s="358">
        <f>IF(Consolidación?="SI",'(0) 1a. Activos de Partida'!E11-F11*0+H11+I11,'(0) 1a. Activos de Partida'!H11+'(0) 1a. Activos de Partida'!I11)</f>
        <v>0</v>
      </c>
      <c r="C11" s="366" t="str">
        <f t="shared" si="0"/>
        <v/>
      </c>
      <c r="E11" s="361"/>
      <c r="F11" s="367"/>
      <c r="G11" s="350"/>
      <c r="H11" s="1528">
        <f>'7. Plan Invers-Financ (1º,2º)'!C15</f>
        <v>0</v>
      </c>
      <c r="I11" s="1529">
        <f>'7. Plan Invers-Financ (1º,2º)'!D15</f>
        <v>0</v>
      </c>
      <c r="J11" s="1530">
        <f>'7. Plan Invers-Financ (1º,2º)'!E15</f>
        <v>0.21</v>
      </c>
      <c r="K11" s="1531">
        <f t="shared" si="1"/>
        <v>0</v>
      </c>
      <c r="L11" s="357"/>
      <c r="M11" s="349"/>
      <c r="N11" s="1230">
        <f>'Aux. Amortiz Contable'!C11</f>
        <v>5</v>
      </c>
      <c r="O11" s="349"/>
      <c r="P11" s="1072">
        <f>'Aux. Amortiz Contable'!I11</f>
        <v>0</v>
      </c>
      <c r="Q11" s="1072">
        <f>'Aux. Amortiz Contable'!K11</f>
        <v>0</v>
      </c>
      <c r="R11" s="1073">
        <f>'Aux. Amortiz Contable'!M11</f>
        <v>0</v>
      </c>
      <c r="S11" s="1072">
        <f>'Aux. Amortiz Contable'!O11</f>
        <v>0</v>
      </c>
      <c r="T11" s="1073">
        <f>'Aux. Amortiz Contable'!Q11</f>
        <v>0</v>
      </c>
    </row>
    <row r="12" spans="1:20" ht="18" customHeight="1">
      <c r="A12" s="451" t="s">
        <v>688</v>
      </c>
      <c r="B12" s="358">
        <f>IF(Consolidación?="SI",'(0) 1a. Activos de Partida'!E12-F12*0+H12+I12,'(0) 1a. Activos de Partida'!H12+'(0) 1a. Activos de Partida'!I12)</f>
        <v>0</v>
      </c>
      <c r="C12" s="366" t="str">
        <f t="shared" si="0"/>
        <v/>
      </c>
      <c r="E12" s="361"/>
      <c r="F12" s="367"/>
      <c r="G12" s="350"/>
      <c r="H12" s="1528">
        <f>'7. Plan Invers-Financ (1º,2º)'!C16</f>
        <v>0</v>
      </c>
      <c r="I12" s="1529">
        <f>'7. Plan Invers-Financ (1º,2º)'!D16</f>
        <v>0</v>
      </c>
      <c r="J12" s="1530">
        <f>'7. Plan Invers-Financ (1º,2º)'!E16</f>
        <v>0.21</v>
      </c>
      <c r="K12" s="1531">
        <f t="shared" si="1"/>
        <v>0</v>
      </c>
      <c r="L12" s="357"/>
      <c r="M12" s="349"/>
      <c r="N12" s="1230">
        <f>'Aux. Amortiz Contable'!C12</f>
        <v>10</v>
      </c>
      <c r="O12" s="349"/>
      <c r="P12" s="1072">
        <f>'Aux. Amortiz Contable'!I12</f>
        <v>0</v>
      </c>
      <c r="Q12" s="1072">
        <f>'Aux. Amortiz Contable'!K12</f>
        <v>0</v>
      </c>
      <c r="R12" s="1073">
        <f>'Aux. Amortiz Contable'!M12</f>
        <v>0</v>
      </c>
      <c r="S12" s="1072">
        <f>'Aux. Amortiz Contable'!O12</f>
        <v>0</v>
      </c>
      <c r="T12" s="1073">
        <f>'Aux. Amortiz Contable'!Q12</f>
        <v>0</v>
      </c>
    </row>
    <row r="13" spans="1:20" ht="18" customHeight="1">
      <c r="A13" s="451" t="s">
        <v>689</v>
      </c>
      <c r="B13" s="358">
        <f>IF(Consolidación?="SI",'(0) 1a. Activos de Partida'!E13-F13*0+H13+I13,'(0) 1a. Activos de Partida'!H13+'(0) 1a. Activos de Partida'!I13)</f>
        <v>0</v>
      </c>
      <c r="C13" s="366" t="str">
        <f t="shared" si="0"/>
        <v/>
      </c>
      <c r="E13" s="361"/>
      <c r="F13" s="367"/>
      <c r="G13" s="350"/>
      <c r="H13" s="1528">
        <f>'7. Plan Invers-Financ (1º,2º)'!C17</f>
        <v>0</v>
      </c>
      <c r="I13" s="1529">
        <f>'7. Plan Invers-Financ (1º,2º)'!D17</f>
        <v>0</v>
      </c>
      <c r="J13" s="1530">
        <f>'7. Plan Invers-Financ (1º,2º)'!E17</f>
        <v>0.21</v>
      </c>
      <c r="K13" s="1531">
        <f t="shared" si="1"/>
        <v>0</v>
      </c>
      <c r="L13" s="357"/>
      <c r="M13" s="349"/>
      <c r="N13" s="1230">
        <f>'Aux. Amortiz Contable'!C13</f>
        <v>5</v>
      </c>
      <c r="O13" s="349"/>
      <c r="P13" s="1072">
        <f>'Aux. Amortiz Contable'!I13</f>
        <v>0</v>
      </c>
      <c r="Q13" s="1072">
        <f>'Aux. Amortiz Contable'!K13</f>
        <v>0</v>
      </c>
      <c r="R13" s="1073">
        <f>'Aux. Amortiz Contable'!M13</f>
        <v>0</v>
      </c>
      <c r="S13" s="1072">
        <f>'Aux. Amortiz Contable'!O13</f>
        <v>0</v>
      </c>
      <c r="T13" s="1073">
        <f>'Aux. Amortiz Contable'!Q13</f>
        <v>0</v>
      </c>
    </row>
    <row r="14" spans="1:20" ht="18" customHeight="1">
      <c r="A14" s="451" t="s">
        <v>690</v>
      </c>
      <c r="B14" s="358">
        <f>IF(Consolidación?="SI",'(0) 1a. Activos de Partida'!E14-F14*0+H14+I14,'(0) 1a. Activos de Partida'!H14+'(0) 1a. Activos de Partida'!I14)</f>
        <v>0</v>
      </c>
      <c r="C14" s="366" t="str">
        <f t="shared" si="0"/>
        <v/>
      </c>
      <c r="E14" s="361"/>
      <c r="F14" s="367"/>
      <c r="G14" s="350"/>
      <c r="H14" s="1528">
        <f>'7. Plan Invers-Financ (1º,2º)'!C18</f>
        <v>0</v>
      </c>
      <c r="I14" s="1529">
        <f>'7. Plan Invers-Financ (1º,2º)'!D18</f>
        <v>0</v>
      </c>
      <c r="J14" s="1530">
        <f>'7. Plan Invers-Financ (1º,2º)'!E18</f>
        <v>0.21</v>
      </c>
      <c r="K14" s="1531">
        <f t="shared" si="1"/>
        <v>0</v>
      </c>
      <c r="L14" s="357"/>
      <c r="M14" s="349"/>
      <c r="N14" s="1230">
        <f>'Aux. Amortiz Contable'!C14</f>
        <v>10</v>
      </c>
      <c r="O14" s="349"/>
      <c r="P14" s="1072">
        <f>'Aux. Amortiz Contable'!I14</f>
        <v>0</v>
      </c>
      <c r="Q14" s="1072">
        <f>'Aux. Amortiz Contable'!K14</f>
        <v>0</v>
      </c>
      <c r="R14" s="1073">
        <f>'Aux. Amortiz Contable'!M14</f>
        <v>0</v>
      </c>
      <c r="S14" s="1072">
        <f>'Aux. Amortiz Contable'!O14</f>
        <v>0</v>
      </c>
      <c r="T14" s="1073">
        <f>'Aux. Amortiz Contable'!Q14</f>
        <v>0</v>
      </c>
    </row>
    <row r="15" spans="1:20" ht="18" customHeight="1">
      <c r="A15" s="451" t="s">
        <v>691</v>
      </c>
      <c r="B15" s="358">
        <f>IF(Consolidación?="SI",'(0) 1a. Activos de Partida'!E15-F15*0+H15+I15,'(0) 1a. Activos de Partida'!H15+'(0) 1a. Activos de Partida'!I15)</f>
        <v>0</v>
      </c>
      <c r="C15" s="366" t="str">
        <f t="shared" si="0"/>
        <v/>
      </c>
      <c r="E15" s="361"/>
      <c r="F15" s="367"/>
      <c r="G15" s="350"/>
      <c r="H15" s="1528">
        <f>'7. Plan Invers-Financ (1º,2º)'!C19</f>
        <v>0</v>
      </c>
      <c r="I15" s="1529">
        <f>'7. Plan Invers-Financ (1º,2º)'!D19</f>
        <v>0</v>
      </c>
      <c r="J15" s="1530">
        <f>'7. Plan Invers-Financ (1º,2º)'!E19</f>
        <v>0.21</v>
      </c>
      <c r="K15" s="1531">
        <f t="shared" si="1"/>
        <v>0</v>
      </c>
      <c r="L15" s="357"/>
      <c r="M15" s="349"/>
      <c r="N15" s="1230">
        <f>'Aux. Amortiz Contable'!C15</f>
        <v>5</v>
      </c>
      <c r="O15" s="349"/>
      <c r="P15" s="1072">
        <f>'Aux. Amortiz Contable'!I15</f>
        <v>0</v>
      </c>
      <c r="Q15" s="1072">
        <f>'Aux. Amortiz Contable'!K15</f>
        <v>0</v>
      </c>
      <c r="R15" s="1073">
        <f>'Aux. Amortiz Contable'!M15</f>
        <v>0</v>
      </c>
      <c r="S15" s="1072">
        <f>'Aux. Amortiz Contable'!O15</f>
        <v>0</v>
      </c>
      <c r="T15" s="1073">
        <f>'Aux. Amortiz Contable'!Q15</f>
        <v>0</v>
      </c>
    </row>
    <row r="16" spans="1:20" ht="18" customHeight="1">
      <c r="A16" s="2439" t="s">
        <v>692</v>
      </c>
      <c r="B16" s="358">
        <f>IF(Consolidación?="SI",'(0) 1a. Activos de Partida'!E16-F16*0+H16+I16,'(0) 1a. Activos de Partida'!H16+'(0) 1a. Activos de Partida'!I16)</f>
        <v>0</v>
      </c>
      <c r="C16" s="366" t="str">
        <f t="shared" si="0"/>
        <v/>
      </c>
      <c r="E16" s="361"/>
      <c r="F16" s="367"/>
      <c r="G16" s="350"/>
      <c r="H16" s="1528">
        <f>'7. Plan Invers-Financ (1º,2º)'!C20</f>
        <v>0</v>
      </c>
      <c r="I16" s="1529">
        <f>'7. Plan Invers-Financ (1º,2º)'!D20</f>
        <v>0</v>
      </c>
      <c r="J16" s="1530">
        <f>'7. Plan Invers-Financ (1º,2º)'!E20</f>
        <v>0.21</v>
      </c>
      <c r="K16" s="1531">
        <f t="shared" si="1"/>
        <v>0</v>
      </c>
      <c r="L16" s="357"/>
      <c r="M16" s="349"/>
      <c r="N16" s="1230">
        <f>'Aux. Amortiz Contable'!C16</f>
        <v>4</v>
      </c>
      <c r="O16" s="349"/>
      <c r="P16" s="1072">
        <f>'Aux. Amortiz Contable'!I16</f>
        <v>0</v>
      </c>
      <c r="Q16" s="1072">
        <f>'Aux. Amortiz Contable'!K16</f>
        <v>0</v>
      </c>
      <c r="R16" s="1073">
        <f>'Aux. Amortiz Contable'!M16</f>
        <v>0</v>
      </c>
      <c r="S16" s="1072">
        <f>'Aux. Amortiz Contable'!O16</f>
        <v>0</v>
      </c>
      <c r="T16" s="1073">
        <f>'Aux. Amortiz Contable'!Q16</f>
        <v>0</v>
      </c>
    </row>
    <row r="17" spans="1:20" ht="18" customHeight="1">
      <c r="A17" s="2439" t="s">
        <v>693</v>
      </c>
      <c r="B17" s="358">
        <f>IF(Consolidación?="SI",'(0) 1a. Activos de Partida'!E17-F17*0+H17+I17,'(0) 1a. Activos de Partida'!H17+'(0) 1a. Activos de Partida'!I17)</f>
        <v>0</v>
      </c>
      <c r="C17" s="366" t="str">
        <f t="shared" si="0"/>
        <v/>
      </c>
      <c r="E17" s="361"/>
      <c r="F17" s="367"/>
      <c r="G17" s="350"/>
      <c r="H17" s="1528">
        <f>'7. Plan Invers-Financ (1º,2º)'!C21</f>
        <v>0</v>
      </c>
      <c r="I17" s="1529">
        <f>'7. Plan Invers-Financ (1º,2º)'!D21</f>
        <v>0</v>
      </c>
      <c r="J17" s="1530">
        <f>'7. Plan Invers-Financ (1º,2º)'!E21</f>
        <v>0.21</v>
      </c>
      <c r="K17" s="1531">
        <f t="shared" si="1"/>
        <v>0</v>
      </c>
      <c r="L17" s="357"/>
      <c r="M17" s="349"/>
      <c r="N17" s="1230">
        <f>'Aux. Amortiz Contable'!C17</f>
        <v>4</v>
      </c>
      <c r="O17" s="349"/>
      <c r="P17" s="1072">
        <f>'Aux. Amortiz Contable'!I17</f>
        <v>0</v>
      </c>
      <c r="Q17" s="1072">
        <f>'Aux. Amortiz Contable'!K17</f>
        <v>0</v>
      </c>
      <c r="R17" s="1073">
        <f>'Aux. Amortiz Contable'!M17</f>
        <v>0</v>
      </c>
      <c r="S17" s="1072">
        <f>'Aux. Amortiz Contable'!O17</f>
        <v>0</v>
      </c>
      <c r="T17" s="1073">
        <f>'Aux. Amortiz Contable'!Q17</f>
        <v>0</v>
      </c>
    </row>
    <row r="18" spans="1:20" ht="18" hidden="1" customHeight="1">
      <c r="A18" s="408" t="s">
        <v>358</v>
      </c>
      <c r="B18" s="369">
        <f>IF(Consolidación?="SI",-'(0) 1a. Activos de Partida'!F8,0)</f>
        <v>0</v>
      </c>
      <c r="C18" s="370" t="str">
        <f t="shared" si="0"/>
        <v/>
      </c>
      <c r="E18" s="371"/>
      <c r="F18" s="372"/>
      <c r="G18" s="350"/>
      <c r="H18" s="1532"/>
      <c r="I18" s="1533"/>
      <c r="J18" s="1534">
        <f>'7. Plan Invers-Financ (1º,2º)'!E22</f>
        <v>0</v>
      </c>
      <c r="K18" s="1535"/>
      <c r="L18" s="374"/>
      <c r="M18" s="349"/>
      <c r="N18" s="1052"/>
      <c r="O18" s="349"/>
      <c r="P18" s="1065">
        <f>SUM(P9:P17)</f>
        <v>0</v>
      </c>
      <c r="Q18" s="1065">
        <f>SUM(Q9:Q17)</f>
        <v>0</v>
      </c>
      <c r="R18" s="1066">
        <f>SUM(R9:R17)</f>
        <v>0</v>
      </c>
      <c r="S18" s="1065">
        <f>SUM(S9:S17)</f>
        <v>0</v>
      </c>
      <c r="T18" s="1066">
        <f>SUM(T9:T17)</f>
        <v>0</v>
      </c>
    </row>
    <row r="19" spans="1:20" ht="18" customHeight="1">
      <c r="A19" s="376" t="s">
        <v>100</v>
      </c>
      <c r="B19" s="377">
        <f>SUM(B20:B23)</f>
        <v>0</v>
      </c>
      <c r="C19" s="378" t="str">
        <f t="shared" si="0"/>
        <v/>
      </c>
      <c r="E19" s="356">
        <f>SUM(E20:E23)</f>
        <v>0</v>
      </c>
      <c r="F19" s="355">
        <f>SUM(F20:F23)</f>
        <v>0</v>
      </c>
      <c r="G19" s="350"/>
      <c r="H19" s="1536">
        <f>SUM(H20:H23)</f>
        <v>0</v>
      </c>
      <c r="I19" s="1537">
        <f>SUM(I20:I23)</f>
        <v>0</v>
      </c>
      <c r="J19" s="1538"/>
      <c r="K19" s="1539">
        <f>SUM(K20:K23)</f>
        <v>0</v>
      </c>
      <c r="L19" s="357"/>
      <c r="M19" s="349"/>
      <c r="N19" s="1053"/>
      <c r="O19" s="349"/>
      <c r="P19" s="1062">
        <f>SUM(P20:P23)</f>
        <v>0</v>
      </c>
      <c r="Q19" s="1062">
        <f>SUM(Q20:Q23)</f>
        <v>0</v>
      </c>
      <c r="R19" s="1064">
        <f>SUM(R20:R23)</f>
        <v>0</v>
      </c>
      <c r="S19" s="1064">
        <f>SUM(S20:S23)</f>
        <v>0</v>
      </c>
      <c r="T19" s="1064">
        <f>SUM(T20:T23)</f>
        <v>0</v>
      </c>
    </row>
    <row r="20" spans="1:20" ht="18" customHeight="1">
      <c r="A20" s="2437" t="s">
        <v>694</v>
      </c>
      <c r="B20" s="358">
        <f>IF(Consolidación?="SI",'(0) 1a. Activos de Partida'!E20-F20*0+H20+I20,'(0) 1a. Activos de Partida'!H20+'(0) 1a. Activos de Partida'!I20)</f>
        <v>0</v>
      </c>
      <c r="C20" s="359" t="str">
        <f t="shared" si="0"/>
        <v/>
      </c>
      <c r="E20" s="361"/>
      <c r="F20" s="367"/>
      <c r="G20" s="350"/>
      <c r="H20" s="1540">
        <f>'7. Plan Invers-Financ (1º,2º)'!C24</f>
        <v>0</v>
      </c>
      <c r="I20" s="1529">
        <f>'7. Plan Invers-Financ (1º,2º)'!D24</f>
        <v>0</v>
      </c>
      <c r="J20" s="1530">
        <f>'7. Plan Invers-Financ (1º,2º)'!E24</f>
        <v>0.21</v>
      </c>
      <c r="K20" s="1541">
        <f t="shared" ref="K20:K23" si="2">I20*J20</f>
        <v>0</v>
      </c>
      <c r="L20" s="357"/>
      <c r="M20" s="349"/>
      <c r="N20" s="1230">
        <f>'Aux. Amortiz Contable'!C20</f>
        <v>4</v>
      </c>
      <c r="O20" s="349"/>
      <c r="P20" s="1072">
        <f>'Aux. Amortiz Contable'!I20</f>
        <v>0</v>
      </c>
      <c r="Q20" s="1072">
        <f>'Aux. Amortiz Contable'!K20</f>
        <v>0</v>
      </c>
      <c r="R20" s="1073">
        <f>'Aux. Amortiz Contable'!M20</f>
        <v>0</v>
      </c>
      <c r="S20" s="1072">
        <f>'Aux. Amortiz Contable'!O20</f>
        <v>0</v>
      </c>
      <c r="T20" s="1073">
        <f>'Aux. Amortiz Contable'!Q20</f>
        <v>0</v>
      </c>
    </row>
    <row r="21" spans="1:20" s="368" customFormat="1" ht="18" customHeight="1">
      <c r="A21" s="2439" t="s">
        <v>696</v>
      </c>
      <c r="B21" s="358">
        <f>IF(Consolidación?="SI",'(0) 1a. Activos de Partida'!E21-F21*0+H21+I21,'(0) 1a. Activos de Partida'!H21+'(0) 1a. Activos de Partida'!I21)</f>
        <v>0</v>
      </c>
      <c r="C21" s="366" t="str">
        <f t="shared" si="0"/>
        <v/>
      </c>
      <c r="E21" s="361"/>
      <c r="F21" s="367"/>
      <c r="G21" s="350"/>
      <c r="H21" s="1540">
        <f>'7. Plan Invers-Financ (1º,2º)'!C25</f>
        <v>0</v>
      </c>
      <c r="I21" s="1529">
        <f>'7. Plan Invers-Financ (1º,2º)'!D25</f>
        <v>0</v>
      </c>
      <c r="J21" s="1530">
        <f>'7. Plan Invers-Financ (1º,2º)'!E25</f>
        <v>0.21</v>
      </c>
      <c r="K21" s="1541">
        <f t="shared" si="2"/>
        <v>0</v>
      </c>
      <c r="L21" s="357"/>
      <c r="M21" s="349"/>
      <c r="N21" s="1230">
        <f>'Aux. Amortiz Contable'!C21</f>
        <v>4</v>
      </c>
      <c r="O21" s="349"/>
      <c r="P21" s="1072">
        <f>'Aux. Amortiz Contable'!I21</f>
        <v>0</v>
      </c>
      <c r="Q21" s="1072">
        <f>'Aux. Amortiz Contable'!K21</f>
        <v>0</v>
      </c>
      <c r="R21" s="1073">
        <f>'Aux. Amortiz Contable'!M21</f>
        <v>0</v>
      </c>
      <c r="S21" s="1072">
        <f>'Aux. Amortiz Contable'!O21</f>
        <v>0</v>
      </c>
      <c r="T21" s="1073">
        <f>'Aux. Amortiz Contable'!Q21</f>
        <v>0</v>
      </c>
    </row>
    <row r="22" spans="1:20" ht="18" customHeight="1">
      <c r="A22" s="2439" t="s">
        <v>697</v>
      </c>
      <c r="B22" s="358">
        <f>IF(Consolidación?="SI",'(0) 1a. Activos de Partida'!E22-F22*0+H22+I22,H22+'(0) 1a. Activos de Partida'!I22)</f>
        <v>0</v>
      </c>
      <c r="C22" s="366" t="str">
        <f t="shared" si="0"/>
        <v/>
      </c>
      <c r="E22" s="361"/>
      <c r="F22" s="367"/>
      <c r="G22" s="350"/>
      <c r="H22" s="1540">
        <f>'7. Plan Invers-Financ (1º,2º)'!C26</f>
        <v>0</v>
      </c>
      <c r="I22" s="1529">
        <f>'7. Plan Invers-Financ (1º,2º)'!D26</f>
        <v>0</v>
      </c>
      <c r="J22" s="1530">
        <f>'7. Plan Invers-Financ (1º,2º)'!E26</f>
        <v>0.21</v>
      </c>
      <c r="K22" s="1541">
        <f t="shared" si="2"/>
        <v>0</v>
      </c>
      <c r="L22" s="357"/>
      <c r="M22" s="349"/>
      <c r="N22" s="1230">
        <f>'Aux. Amortiz Contable'!C22</f>
        <v>4</v>
      </c>
      <c r="O22" s="349"/>
      <c r="P22" s="1072">
        <f>'Aux. Amortiz Contable'!I22</f>
        <v>0</v>
      </c>
      <c r="Q22" s="1072">
        <f>'Aux. Amortiz Contable'!K22</f>
        <v>0</v>
      </c>
      <c r="R22" s="1073">
        <f>'Aux. Amortiz Contable'!M22</f>
        <v>0</v>
      </c>
      <c r="S22" s="1072">
        <f>'Aux. Amortiz Contable'!O22</f>
        <v>0</v>
      </c>
      <c r="T22" s="1073">
        <f>'Aux. Amortiz Contable'!Q22</f>
        <v>0</v>
      </c>
    </row>
    <row r="23" spans="1:20" ht="18" customHeight="1" thickBot="1">
      <c r="A23" s="2439" t="s">
        <v>695</v>
      </c>
      <c r="B23" s="358">
        <f>IF(Consolidación?="SI",'(0) 1a. Activos de Partida'!E23-F23*0+H23+I23,'(0) 1a. Activos de Partida'!H23+'(0) 1a. Activos de Partida'!I23)</f>
        <v>0</v>
      </c>
      <c r="C23" s="366" t="str">
        <f t="shared" si="0"/>
        <v/>
      </c>
      <c r="E23" s="361"/>
      <c r="F23" s="367"/>
      <c r="G23" s="350"/>
      <c r="H23" s="1540">
        <f>'7. Plan Invers-Financ (1º,2º)'!C27</f>
        <v>0</v>
      </c>
      <c r="I23" s="1529">
        <f>'7. Plan Invers-Financ (1º,2º)'!D27</f>
        <v>0</v>
      </c>
      <c r="J23" s="1530">
        <f>'7. Plan Invers-Financ (1º,2º)'!E27</f>
        <v>0.21</v>
      </c>
      <c r="K23" s="1541">
        <f t="shared" si="2"/>
        <v>0</v>
      </c>
      <c r="L23" s="357"/>
      <c r="M23" s="349"/>
      <c r="N23" s="1230">
        <f>'Aux. Amortiz Contable'!C23</f>
        <v>5</v>
      </c>
      <c r="O23" s="1070"/>
      <c r="P23" s="1074">
        <f>'Aux. Amortiz Contable'!I23</f>
        <v>0</v>
      </c>
      <c r="Q23" s="1074">
        <f>'Aux. Amortiz Contable'!K23</f>
        <v>0</v>
      </c>
      <c r="R23" s="1075">
        <f>'Aux. Amortiz Contable'!M23</f>
        <v>0</v>
      </c>
      <c r="S23" s="1074">
        <f>'Aux. Amortiz Contable'!O23</f>
        <v>0</v>
      </c>
      <c r="T23" s="1075">
        <f>'Aux. Amortiz Contable'!Q23</f>
        <v>0</v>
      </c>
    </row>
    <row r="24" spans="1:20" ht="18" hidden="1" customHeight="1" thickTop="1">
      <c r="A24" s="408" t="s">
        <v>357</v>
      </c>
      <c r="B24" s="369">
        <f>IF(Consolidación?="SI",-'(0) 1a. Activos de Partida'!F19,0)</f>
        <v>0</v>
      </c>
      <c r="C24" s="370" t="str">
        <f t="shared" si="0"/>
        <v/>
      </c>
      <c r="E24" s="380"/>
      <c r="F24" s="372"/>
      <c r="G24" s="350"/>
      <c r="H24" s="1532"/>
      <c r="I24" s="1533"/>
      <c r="J24" s="1542"/>
      <c r="K24" s="1535"/>
      <c r="L24" s="374"/>
      <c r="M24" s="349"/>
      <c r="S24" s="1067">
        <f>SUM(S19:S23)</f>
        <v>0</v>
      </c>
      <c r="T24" s="1068">
        <f>SUM(T19:T23)</f>
        <v>0</v>
      </c>
    </row>
    <row r="25" spans="1:20" s="368" customFormat="1" ht="18" hidden="1" customHeight="1">
      <c r="A25" s="381" t="s">
        <v>356</v>
      </c>
      <c r="B25" s="377">
        <f>B26</f>
        <v>0</v>
      </c>
      <c r="C25" s="378" t="str">
        <f t="shared" si="0"/>
        <v/>
      </c>
      <c r="E25" s="356">
        <f>E26</f>
        <v>0</v>
      </c>
      <c r="F25" s="355">
        <f>F26</f>
        <v>0</v>
      </c>
      <c r="G25" s="350"/>
      <c r="H25" s="1543">
        <f>H26</f>
        <v>0</v>
      </c>
      <c r="I25" s="1544">
        <f>I26</f>
        <v>0</v>
      </c>
      <c r="J25" s="1545"/>
      <c r="K25" s="1539">
        <f>K26</f>
        <v>0</v>
      </c>
      <c r="L25" s="374"/>
      <c r="M25" s="349"/>
      <c r="N25" s="1054"/>
      <c r="O25" s="349"/>
      <c r="P25" s="1063"/>
      <c r="Q25" s="1063"/>
      <c r="R25" s="1063"/>
      <c r="S25" s="1063"/>
      <c r="T25" s="1064"/>
    </row>
    <row r="26" spans="1:20" ht="18" hidden="1" customHeight="1">
      <c r="A26" s="407" t="s">
        <v>102</v>
      </c>
      <c r="B26" s="358">
        <f>IF(Consolidación?="SI",'(0) 1a. Activos de Partida'!E26-F26*0+H26+I26,'(0) 1a. Activos de Partida'!H26+'(0) 1a. Activos de Partida'!I26)</f>
        <v>0</v>
      </c>
      <c r="C26" s="366" t="str">
        <f t="shared" si="0"/>
        <v/>
      </c>
      <c r="E26" s="1046"/>
      <c r="F26" s="1047"/>
      <c r="G26" s="350"/>
      <c r="H26" s="1546"/>
      <c r="I26" s="1547"/>
      <c r="J26" s="1548">
        <v>0.21</v>
      </c>
      <c r="K26" s="1541">
        <f>I26*J26</f>
        <v>0</v>
      </c>
      <c r="L26" s="374"/>
      <c r="M26" s="349"/>
      <c r="N26" s="1055">
        <v>33</v>
      </c>
      <c r="O26" s="349"/>
      <c r="P26" s="1076" t="e">
        <f>'Aux. Amortiz Contable'!#REF!</f>
        <v>#REF!</v>
      </c>
      <c r="Q26" s="1076" t="e">
        <f>'Aux. Amortiz Contable'!#REF!</f>
        <v>#REF!</v>
      </c>
      <c r="R26" s="1076" t="e">
        <f>'Aux. Amortiz Contable'!#REF!</f>
        <v>#REF!</v>
      </c>
      <c r="S26" s="1076" t="e">
        <f>'Aux. Amortiz Contable'!#REF!</f>
        <v>#REF!</v>
      </c>
      <c r="T26" s="1077" t="e">
        <f>'Aux. Amortiz Contable'!#REF!</f>
        <v>#REF!</v>
      </c>
    </row>
    <row r="27" spans="1:20" s="368" customFormat="1" ht="18" hidden="1" customHeight="1" thickBot="1">
      <c r="A27" s="408" t="s">
        <v>359</v>
      </c>
      <c r="B27" s="369">
        <f>IF(Consolidación?="SI",-'(0) 1a. Activos de Partida'!F25,0)</f>
        <v>0</v>
      </c>
      <c r="C27" s="370" t="str">
        <f t="shared" si="0"/>
        <v/>
      </c>
      <c r="E27" s="382"/>
      <c r="F27" s="372"/>
      <c r="G27" s="350"/>
      <c r="H27" s="1532"/>
      <c r="I27" s="1533"/>
      <c r="J27" s="1542"/>
      <c r="K27" s="1535"/>
      <c r="L27" s="374"/>
      <c r="M27" s="349"/>
      <c r="N27" s="1056"/>
      <c r="O27" s="349"/>
      <c r="P27" s="1059" t="e">
        <f>P26</f>
        <v>#REF!</v>
      </c>
      <c r="Q27" s="1059" t="e">
        <f>Q26</f>
        <v>#REF!</v>
      </c>
      <c r="R27" s="1059" t="e">
        <f>R26</f>
        <v>#REF!</v>
      </c>
      <c r="S27" s="1059" t="e">
        <f>S26</f>
        <v>#REF!</v>
      </c>
      <c r="T27" s="1061" t="e">
        <f>T26</f>
        <v>#REF!</v>
      </c>
    </row>
    <row r="28" spans="1:20" ht="18" customHeight="1" thickTop="1" thickBot="1">
      <c r="A28" s="376" t="s">
        <v>362</v>
      </c>
      <c r="B28" s="377">
        <f>B29</f>
        <v>0</v>
      </c>
      <c r="C28" s="378" t="str">
        <f t="shared" si="0"/>
        <v/>
      </c>
      <c r="E28" s="383">
        <f>SUM(E29:E29)</f>
        <v>0</v>
      </c>
      <c r="F28" s="384"/>
      <c r="G28" s="350"/>
      <c r="H28" s="1549">
        <f>H29</f>
        <v>0</v>
      </c>
      <c r="I28" s="1550">
        <f>I29</f>
        <v>0</v>
      </c>
      <c r="J28" s="1551"/>
      <c r="K28" s="1539">
        <f>SUM(K29)</f>
        <v>0</v>
      </c>
      <c r="L28" s="357"/>
      <c r="M28" s="349"/>
      <c r="N28" s="1109" t="s">
        <v>150</v>
      </c>
      <c r="O28" s="349"/>
      <c r="P28" s="412">
        <f>P8+P19</f>
        <v>0</v>
      </c>
      <c r="Q28" s="412">
        <f>Q8+Q19</f>
        <v>0</v>
      </c>
      <c r="R28" s="1118">
        <f>R8+R19</f>
        <v>0</v>
      </c>
      <c r="S28" s="1118">
        <f>S8+S19</f>
        <v>0</v>
      </c>
      <c r="T28" s="1118">
        <f>T8+T19</f>
        <v>0</v>
      </c>
    </row>
    <row r="29" spans="1:20" ht="18" customHeight="1" thickTop="1">
      <c r="A29" s="2439" t="s">
        <v>600</v>
      </c>
      <c r="B29" s="358">
        <f>IF(Consolidación?="SI",'(0) 1a. Activos de Partida'!E29+H29+I29,'(0) 1a. Activos de Partida'!I29+H29)</f>
        <v>0</v>
      </c>
      <c r="C29" s="359" t="str">
        <f t="shared" si="0"/>
        <v/>
      </c>
      <c r="E29" s="1046"/>
      <c r="F29" s="373"/>
      <c r="G29" s="350"/>
      <c r="H29" s="1540">
        <f>'7. Plan Invers-Financ (1º,2º)'!C30</f>
        <v>0</v>
      </c>
      <c r="I29" s="1529">
        <f>'7. Plan Invers-Financ (1º,2º)'!D30</f>
        <v>0</v>
      </c>
      <c r="J29" s="1552"/>
      <c r="K29" s="1553"/>
      <c r="L29" s="357"/>
      <c r="M29" s="349"/>
      <c r="N29" s="349"/>
      <c r="O29" s="349"/>
      <c r="P29" s="349"/>
      <c r="Q29" s="349"/>
      <c r="R29" s="349"/>
      <c r="S29" s="349"/>
    </row>
    <row r="30" spans="1:20" s="368" customFormat="1" ht="18" customHeight="1">
      <c r="A30" s="376" t="s">
        <v>351</v>
      </c>
      <c r="B30" s="377">
        <f>SUM(B31:B31)</f>
        <v>0</v>
      </c>
      <c r="C30" s="378" t="str">
        <f t="shared" si="0"/>
        <v/>
      </c>
      <c r="E30" s="383">
        <f>SUM(E31:E31)</f>
        <v>0</v>
      </c>
      <c r="F30" s="355">
        <f>SUM(F31:F31)</f>
        <v>0</v>
      </c>
      <c r="G30" s="350"/>
      <c r="H30" s="1549">
        <f>SUM(H31:H31)</f>
        <v>0</v>
      </c>
      <c r="I30" s="1550">
        <f>SUM(I31:I31)</f>
        <v>0</v>
      </c>
      <c r="J30" s="1551"/>
      <c r="K30" s="1539">
        <f>SUM(K31:K31)</f>
        <v>0</v>
      </c>
      <c r="L30" s="357"/>
      <c r="M30" s="349"/>
      <c r="N30" s="349"/>
      <c r="O30" s="349"/>
      <c r="P30" s="379" t="s">
        <v>423</v>
      </c>
      <c r="Q30" s="349"/>
      <c r="R30" s="349"/>
      <c r="S30" s="349"/>
    </row>
    <row r="31" spans="1:20" s="368" customFormat="1" ht="18" customHeight="1" thickBot="1">
      <c r="A31" s="2437" t="s">
        <v>611</v>
      </c>
      <c r="B31" s="358">
        <f>IF(Consolidación?="SI",'(0) 1a. Activos de Partida'!E31-'(0) 1a. Activos de Partida'!F31+(H31+I31),H31+'(0) 1a. Activos de Partida'!I31)</f>
        <v>0</v>
      </c>
      <c r="C31" s="366" t="str">
        <f t="shared" si="0"/>
        <v/>
      </c>
      <c r="E31" s="1046"/>
      <c r="F31" s="1047"/>
      <c r="G31" s="350"/>
      <c r="H31" s="1540">
        <f>'7. Plan Invers-Financ (1º,2º)'!C33</f>
        <v>0</v>
      </c>
      <c r="I31" s="1529">
        <f>'7. Plan Invers-Financ (1º,2º)'!D33</f>
        <v>0</v>
      </c>
      <c r="J31" s="1530">
        <f>'7. Plan Invers-Financ (1º,2º)'!E33</f>
        <v>0.21</v>
      </c>
      <c r="K31" s="1541">
        <f>I31*J31</f>
        <v>0</v>
      </c>
      <c r="L31" s="357"/>
      <c r="M31" s="349"/>
      <c r="N31" s="349"/>
      <c r="O31" s="349"/>
      <c r="P31" s="375" t="s">
        <v>425</v>
      </c>
      <c r="Q31" s="349"/>
      <c r="R31" s="349"/>
      <c r="S31" s="349"/>
    </row>
    <row r="32" spans="1:20" s="368" customFormat="1" ht="20.25" customHeight="1" thickTop="1" thickBot="1">
      <c r="A32" s="2451" t="s">
        <v>106</v>
      </c>
      <c r="B32" s="2452">
        <f>B33+B36+B39+B42</f>
        <v>0</v>
      </c>
      <c r="C32" s="2446" t="str">
        <f t="shared" si="0"/>
        <v/>
      </c>
      <c r="E32" s="412">
        <f>E33</f>
        <v>0</v>
      </c>
      <c r="F32" s="385"/>
      <c r="G32" s="350"/>
      <c r="H32" s="2453">
        <f>H33</f>
        <v>0</v>
      </c>
      <c r="I32" s="2454">
        <f>I33</f>
        <v>0</v>
      </c>
      <c r="J32" s="2455"/>
      <c r="K32" s="2456">
        <f>K33</f>
        <v>0</v>
      </c>
      <c r="L32" s="357"/>
      <c r="M32" s="349"/>
      <c r="N32" s="349"/>
      <c r="O32" s="349"/>
      <c r="P32" s="375" t="s">
        <v>426</v>
      </c>
      <c r="Q32" s="349"/>
      <c r="R32" s="349"/>
      <c r="S32" s="349"/>
    </row>
    <row r="33" spans="1:19" s="368" customFormat="1" ht="18" customHeight="1" thickTop="1">
      <c r="A33" s="386" t="s">
        <v>51</v>
      </c>
      <c r="B33" s="387">
        <f>SUM(B34:B35)</f>
        <v>0</v>
      </c>
      <c r="C33" s="388" t="str">
        <f t="shared" si="0"/>
        <v/>
      </c>
      <c r="E33" s="389">
        <f>SUM(E34:E35)</f>
        <v>0</v>
      </c>
      <c r="F33" s="384"/>
      <c r="G33" s="350"/>
      <c r="H33" s="1524">
        <f>SUM(H34:H35)</f>
        <v>0</v>
      </c>
      <c r="I33" s="1525">
        <f>SUM(I34:I35)</f>
        <v>0</v>
      </c>
      <c r="J33" s="1526"/>
      <c r="K33" s="1523">
        <f>SUM(K34:K35)</f>
        <v>0</v>
      </c>
      <c r="L33" s="357"/>
      <c r="M33" s="349"/>
      <c r="N33" s="349"/>
      <c r="O33" s="349"/>
      <c r="P33" s="379" t="s">
        <v>424</v>
      </c>
      <c r="Q33" s="349"/>
      <c r="R33" s="349"/>
      <c r="S33" s="349"/>
    </row>
    <row r="34" spans="1:19" s="368" customFormat="1" ht="18" customHeight="1" thickBot="1">
      <c r="A34" s="2439" t="s">
        <v>487</v>
      </c>
      <c r="B34" s="358">
        <f>IF(Consolidación?="SI",'(0) 1a. Activos de Partida'!E34+(H34+I34),'(0) 1a. Activos de Partida'!H34+'(0) 1a. Activos de Partida'!I34)</f>
        <v>0</v>
      </c>
      <c r="C34" s="359" t="str">
        <f t="shared" si="0"/>
        <v/>
      </c>
      <c r="E34" s="1046"/>
      <c r="F34" s="373"/>
      <c r="G34" s="350"/>
      <c r="H34" s="1555">
        <f>'7. Plan Invers-Financ (1º,2º)'!C38</f>
        <v>0</v>
      </c>
      <c r="I34" s="1556">
        <f>'7. Plan Invers-Financ (1º,2º)'!D38</f>
        <v>0</v>
      </c>
      <c r="J34" s="1557">
        <f>'7. Plan Invers-Financ (1º,2º)'!E38</f>
        <v>0.21</v>
      </c>
      <c r="K34" s="1554">
        <f>I34*J34</f>
        <v>0</v>
      </c>
      <c r="L34" s="357"/>
      <c r="M34" s="349"/>
      <c r="N34" s="349"/>
      <c r="O34" s="349"/>
      <c r="P34" s="375" t="s">
        <v>427</v>
      </c>
      <c r="Q34" s="349"/>
      <c r="R34" s="349"/>
      <c r="S34" s="349"/>
    </row>
    <row r="35" spans="1:19" ht="18" hidden="1" customHeight="1" thickTop="1" thickBot="1">
      <c r="A35" s="409" t="s">
        <v>105</v>
      </c>
      <c r="B35" s="390">
        <f>IF(Consolidación?="SI",'(0) 1a. Activos de Partida'!E35+(H35+I35),'(0) 1a. Activos de Partida'!H35+'(0) 1a. Activos de Partida'!I35)</f>
        <v>0</v>
      </c>
      <c r="C35" s="391" t="str">
        <f t="shared" si="0"/>
        <v/>
      </c>
      <c r="E35" s="1045"/>
      <c r="F35" s="392"/>
      <c r="G35" s="350"/>
      <c r="H35" s="1215"/>
      <c r="I35" s="1216"/>
      <c r="J35" s="1217">
        <v>0.21</v>
      </c>
      <c r="K35" s="1218">
        <f>I35*J35</f>
        <v>0</v>
      </c>
      <c r="L35" s="1338"/>
      <c r="M35" s="349"/>
      <c r="N35" s="349"/>
      <c r="O35" s="349"/>
      <c r="P35" s="349"/>
      <c r="Q35" s="349"/>
      <c r="R35" s="349"/>
      <c r="S35" s="349"/>
    </row>
    <row r="36" spans="1:19" s="368" customFormat="1" ht="18" customHeight="1" thickTop="1">
      <c r="A36" s="376" t="s">
        <v>122</v>
      </c>
      <c r="B36" s="377">
        <f>SUM(B37:B38)</f>
        <v>0</v>
      </c>
      <c r="C36" s="378" t="str">
        <f t="shared" si="0"/>
        <v/>
      </c>
      <c r="D36" s="1417"/>
      <c r="E36" s="336"/>
      <c r="F36" s="336"/>
      <c r="G36" s="394"/>
      <c r="H36" s="338"/>
      <c r="I36" s="338"/>
      <c r="J36" s="338"/>
      <c r="K36" s="338"/>
      <c r="L36" s="349"/>
      <c r="M36" s="349"/>
      <c r="N36" s="349"/>
      <c r="O36" s="349"/>
      <c r="P36" s="349"/>
      <c r="Q36" s="349"/>
      <c r="R36" s="349"/>
      <c r="S36" s="349"/>
    </row>
    <row r="37" spans="1:19" s="368" customFormat="1" ht="18" customHeight="1">
      <c r="A37" s="1393" t="s">
        <v>225</v>
      </c>
      <c r="B37" s="1938"/>
      <c r="C37" s="1382" t="str">
        <f t="shared" si="0"/>
        <v/>
      </c>
      <c r="D37" s="1416"/>
      <c r="E37" s="1411"/>
      <c r="F37" s="1347"/>
      <c r="G37" s="3690" t="s">
        <v>838</v>
      </c>
      <c r="H37" s="3691"/>
      <c r="I37" s="3691"/>
      <c r="J37" s="338"/>
      <c r="K37" s="338"/>
      <c r="L37" s="349"/>
      <c r="M37" s="349"/>
      <c r="N37" s="349"/>
      <c r="O37" s="349"/>
      <c r="P37" s="349"/>
      <c r="Q37" s="349"/>
      <c r="R37" s="349"/>
      <c r="S37" s="349"/>
    </row>
    <row r="38" spans="1:19" s="368" customFormat="1" ht="18" customHeight="1">
      <c r="A38" s="1394" t="s">
        <v>226</v>
      </c>
      <c r="B38" s="1939"/>
      <c r="C38" s="1383" t="str">
        <f t="shared" si="0"/>
        <v/>
      </c>
      <c r="D38" s="1416"/>
      <c r="E38" s="1411"/>
      <c r="F38" s="1347"/>
      <c r="G38" s="3690" t="s">
        <v>839</v>
      </c>
      <c r="H38" s="3691"/>
      <c r="I38" s="3691"/>
      <c r="L38" s="349"/>
      <c r="M38" s="349"/>
      <c r="N38" s="349"/>
      <c r="O38" s="349"/>
      <c r="P38" s="349"/>
      <c r="Q38" s="349"/>
      <c r="R38" s="349"/>
      <c r="S38" s="349"/>
    </row>
    <row r="39" spans="1:19" ht="17.25" thickBot="1">
      <c r="A39" s="376" t="s">
        <v>412</v>
      </c>
      <c r="B39" s="397">
        <f>SUM(B40:B41)</f>
        <v>0</v>
      </c>
      <c r="C39" s="378" t="str">
        <f t="shared" si="0"/>
        <v/>
      </c>
      <c r="E39" s="396"/>
      <c r="F39" s="396"/>
      <c r="G39" s="368"/>
      <c r="H39" s="396"/>
      <c r="I39" s="368"/>
      <c r="J39" s="368"/>
      <c r="K39" s="368"/>
      <c r="L39" s="349"/>
      <c r="M39" s="349"/>
      <c r="N39" s="349"/>
      <c r="O39" s="349"/>
      <c r="P39" s="349"/>
      <c r="Q39" s="349"/>
      <c r="R39" s="349"/>
      <c r="S39" s="349"/>
    </row>
    <row r="40" spans="1:19" ht="18" customHeight="1" thickTop="1">
      <c r="A40" s="2437" t="s">
        <v>246</v>
      </c>
      <c r="B40" s="398">
        <f>IF(Consolidación?="NO",K7+K32+(E40),E40)</f>
        <v>0</v>
      </c>
      <c r="C40" s="359" t="str">
        <f t="shared" si="0"/>
        <v/>
      </c>
      <c r="E40" s="2417"/>
      <c r="F40" s="395"/>
      <c r="G40" s="338"/>
      <c r="H40" s="396"/>
      <c r="I40" s="368"/>
      <c r="J40" s="368"/>
      <c r="K40" s="368"/>
      <c r="L40" s="349"/>
      <c r="M40" s="349"/>
      <c r="N40" s="349"/>
      <c r="O40" s="349"/>
      <c r="P40" s="349"/>
      <c r="Q40" s="349"/>
      <c r="R40" s="349"/>
      <c r="S40" s="349"/>
    </row>
    <row r="41" spans="1:19" ht="16.5" thickBot="1">
      <c r="A41" s="2438" t="s">
        <v>247</v>
      </c>
      <c r="B41" s="399">
        <f>IF(Consolidación?="NO",0+(E41),E41)</f>
        <v>0</v>
      </c>
      <c r="C41" s="391" t="str">
        <f t="shared" si="0"/>
        <v/>
      </c>
      <c r="D41" s="1339"/>
      <c r="E41" s="2418"/>
      <c r="F41" s="395"/>
      <c r="L41" s="349"/>
      <c r="M41" s="349"/>
      <c r="N41" s="349"/>
      <c r="O41" s="349"/>
      <c r="P41" s="349"/>
      <c r="Q41" s="349"/>
      <c r="R41" s="349"/>
      <c r="S41" s="349"/>
    </row>
    <row r="42" spans="1:19" ht="18.75" customHeight="1" thickTop="1" thickBot="1">
      <c r="A42" s="401" t="s">
        <v>121</v>
      </c>
      <c r="B42" s="402">
        <f>'(0) 1b. Pasivos de Partida'!B32-B7-B33-B36-B39</f>
        <v>0</v>
      </c>
      <c r="C42" s="403" t="str">
        <f t="shared" si="0"/>
        <v/>
      </c>
      <c r="L42" s="349"/>
      <c r="M42" s="349"/>
      <c r="N42" s="349"/>
      <c r="O42" s="349"/>
      <c r="P42" s="349"/>
      <c r="Q42" s="349"/>
      <c r="R42" s="349"/>
      <c r="S42" s="349"/>
    </row>
    <row r="43" spans="1:19" ht="18" thickTop="1" thickBot="1">
      <c r="A43" s="2457" t="s">
        <v>92</v>
      </c>
      <c r="B43" s="2458">
        <f>B32+B7</f>
        <v>0</v>
      </c>
      <c r="C43" s="2459" t="str">
        <f t="shared" si="0"/>
        <v/>
      </c>
      <c r="L43" s="349"/>
      <c r="M43" s="349"/>
      <c r="N43" s="349"/>
      <c r="O43" s="349"/>
      <c r="P43" s="349"/>
      <c r="Q43" s="349"/>
      <c r="R43" s="349"/>
      <c r="S43" s="349"/>
    </row>
    <row r="44" spans="1:19" ht="16.5" thickTop="1">
      <c r="A44" s="404"/>
      <c r="B44" s="405"/>
      <c r="C44" s="405"/>
      <c r="L44" s="349"/>
      <c r="M44" s="349"/>
      <c r="N44" s="349"/>
      <c r="O44" s="349"/>
      <c r="P44" s="349"/>
      <c r="Q44" s="349"/>
      <c r="R44" s="349"/>
      <c r="S44" s="349"/>
    </row>
    <row r="45" spans="1:19" hidden="1">
      <c r="A45" s="406" t="s">
        <v>80</v>
      </c>
      <c r="B45" s="405"/>
      <c r="C45" s="405"/>
      <c r="L45" s="349"/>
      <c r="M45" s="349"/>
      <c r="N45" s="349"/>
      <c r="O45" s="349"/>
      <c r="P45" s="349"/>
      <c r="Q45" s="349"/>
      <c r="R45" s="349"/>
      <c r="S45" s="349"/>
    </row>
    <row r="46" spans="1:19">
      <c r="L46" s="349"/>
      <c r="M46" s="349"/>
      <c r="N46" s="349"/>
      <c r="O46" s="349"/>
      <c r="P46" s="349"/>
      <c r="Q46" s="349"/>
      <c r="R46" s="349"/>
      <c r="S46" s="349"/>
    </row>
    <row r="47" spans="1:19">
      <c r="L47" s="349"/>
      <c r="M47" s="349"/>
      <c r="N47" s="349"/>
      <c r="O47" s="349"/>
      <c r="P47" s="349"/>
      <c r="Q47" s="349"/>
      <c r="R47" s="349"/>
      <c r="S47" s="349"/>
    </row>
    <row r="48" spans="1:19">
      <c r="L48" s="349"/>
      <c r="M48" s="349"/>
      <c r="N48" s="349"/>
      <c r="O48" s="349"/>
      <c r="P48" s="349"/>
      <c r="Q48" s="349"/>
      <c r="R48" s="349"/>
      <c r="S48" s="349"/>
    </row>
    <row r="49" spans="10:19">
      <c r="J49" s="1515"/>
      <c r="L49" s="349"/>
      <c r="M49" s="349"/>
      <c r="N49" s="349"/>
      <c r="O49" s="349"/>
      <c r="P49" s="349"/>
      <c r="Q49" s="349"/>
      <c r="R49" s="349"/>
      <c r="S49" s="349"/>
    </row>
    <row r="50" spans="10:19">
      <c r="L50" s="349"/>
      <c r="M50" s="349"/>
      <c r="N50" s="349"/>
      <c r="O50" s="349"/>
      <c r="P50" s="349"/>
      <c r="Q50" s="349"/>
      <c r="R50" s="349"/>
      <c r="S50" s="349"/>
    </row>
    <row r="51" spans="10:19">
      <c r="L51" s="349"/>
      <c r="M51" s="349"/>
      <c r="N51" s="349"/>
      <c r="O51" s="349"/>
      <c r="P51" s="349"/>
      <c r="Q51" s="349"/>
      <c r="R51" s="349"/>
      <c r="S51" s="349"/>
    </row>
    <row r="52" spans="10:19">
      <c r="L52" s="349"/>
      <c r="M52" s="349"/>
      <c r="N52" s="349"/>
      <c r="O52" s="349"/>
      <c r="P52" s="349"/>
      <c r="Q52" s="349"/>
      <c r="R52" s="349"/>
      <c r="S52" s="349"/>
    </row>
    <row r="53" spans="10:19">
      <c r="L53" s="349"/>
      <c r="M53" s="349"/>
      <c r="N53" s="349"/>
      <c r="O53" s="349"/>
      <c r="P53" s="349"/>
      <c r="Q53" s="349"/>
      <c r="R53" s="349"/>
      <c r="S53" s="349"/>
    </row>
    <row r="54" spans="10:19">
      <c r="L54" s="349"/>
      <c r="M54" s="349"/>
      <c r="N54" s="349"/>
      <c r="O54" s="349"/>
      <c r="P54" s="349"/>
      <c r="Q54" s="349"/>
      <c r="R54" s="349"/>
      <c r="S54" s="349"/>
    </row>
    <row r="55" spans="10:19">
      <c r="L55" s="349"/>
      <c r="M55" s="349"/>
      <c r="N55" s="349"/>
      <c r="O55" s="349"/>
      <c r="P55" s="349"/>
      <c r="Q55" s="349"/>
      <c r="R55" s="349"/>
      <c r="S55" s="349"/>
    </row>
  </sheetData>
  <sheetProtection sheet="1" formatColumns="0" formatRows="0"/>
  <mergeCells count="11">
    <mergeCell ref="S6:S7"/>
    <mergeCell ref="T6:T7"/>
    <mergeCell ref="E5:F5"/>
    <mergeCell ref="H5:K5"/>
    <mergeCell ref="N6:N7"/>
    <mergeCell ref="P6:P7"/>
    <mergeCell ref="G37:I37"/>
    <mergeCell ref="G38:I38"/>
    <mergeCell ref="Q6:Q7"/>
    <mergeCell ref="R6:R7"/>
    <mergeCell ref="N5:R5"/>
  </mergeCells>
  <phoneticPr fontId="9" type="noConversion"/>
  <conditionalFormatting sqref="E5:F5">
    <cfRule type="expression" dxfId="130" priority="14" stopIfTrue="1">
      <formula>Consolidación?="SI"</formula>
    </cfRule>
  </conditionalFormatting>
  <conditionalFormatting sqref="E31:F31 E26:F26 E9:E17 E29 F10:F17 E34:E35 E20:F23">
    <cfRule type="expression" dxfId="129" priority="15" stopIfTrue="1">
      <formula>Consolidación?="NO"</formula>
    </cfRule>
    <cfRule type="expression" dxfId="128" priority="16" stopIfTrue="1">
      <formula>Consolidación?="SI"</formula>
    </cfRule>
  </conditionalFormatting>
  <conditionalFormatting sqref="H26 J26">
    <cfRule type="expression" dxfId="127" priority="17" stopIfTrue="1">
      <formula>Consolidación?="SI"</formula>
    </cfRule>
    <cfRule type="expression" dxfId="126" priority="18" stopIfTrue="1">
      <formula>Consolidación?="NO"</formula>
    </cfRule>
  </conditionalFormatting>
  <conditionalFormatting sqref="H5:K5">
    <cfRule type="expression" dxfId="125" priority="19" stopIfTrue="1">
      <formula>Consolidación?="NO"</formula>
    </cfRule>
  </conditionalFormatting>
  <conditionalFormatting sqref="N26">
    <cfRule type="expression" dxfId="124" priority="8" stopIfTrue="1">
      <formula>Consolidación?="SI"</formula>
    </cfRule>
    <cfRule type="expression" dxfId="123" priority="9" stopIfTrue="1">
      <formula>Consolidación?="NO"</formula>
    </cfRule>
  </conditionalFormatting>
  <conditionalFormatting sqref="T9">
    <cfRule type="cellIs" dxfId="122" priority="3" stopIfTrue="1" operator="lessThan">
      <formula>0</formula>
    </cfRule>
  </conditionalFormatting>
  <conditionalFormatting sqref="P9">
    <cfRule type="cellIs" dxfId="121" priority="7" stopIfTrue="1" operator="lessThan">
      <formula>0</formula>
    </cfRule>
  </conditionalFormatting>
  <conditionalFormatting sqref="Q9">
    <cfRule type="cellIs" dxfId="120" priority="6" stopIfTrue="1" operator="lessThan">
      <formula>0</formula>
    </cfRule>
  </conditionalFormatting>
  <conditionalFormatting sqref="R9">
    <cfRule type="cellIs" dxfId="119" priority="5" stopIfTrue="1" operator="lessThan">
      <formula>0</formula>
    </cfRule>
  </conditionalFormatting>
  <conditionalFormatting sqref="S9">
    <cfRule type="cellIs" dxfId="118" priority="4" stopIfTrue="1" operator="lessThan">
      <formula>0</formula>
    </cfRule>
  </conditionalFormatting>
  <conditionalFormatting sqref="J49">
    <cfRule type="expression" dxfId="117" priority="1" stopIfTrue="1">
      <formula>Consolidación?="NO"</formula>
    </cfRule>
    <cfRule type="expression" dxfId="116" priority="2" stopIfTrue="1">
      <formula>Consolidación="SI"</formula>
    </cfRule>
  </conditionalFormatting>
  <dataValidations xWindow="509" yWindow="504" count="1">
    <dataValidation allowBlank="1" showInputMessage="1" sqref="E1:E2 H1:H2 P8:T8 P25:T25 N4:N5 N1:N2 P19:T19 O1:T4 G37:G38 V1:AC5 V44:AC65532 F39:I65532 O6:O23 N8:N23 F1:G36 I1:I36 H4:H36 U1:U1048576 J1:M1048576 AD1:IV1048576 A1:D1048576 E5:E65532 N25:O65532 P29:T65532"/>
  </dataValidations>
  <printOptions horizontalCentered="1" verticalCentered="1"/>
  <pageMargins left="0.78740157480314965" right="0.39370078740157483" top="0.47244094488188981" bottom="0.47244094488188981" header="0.27559055118110237" footer="0.31496062992125984"/>
  <pageSetup paperSize="9" scale="50" orientation="landscape" horizontalDpi="300" verticalDpi="300" r:id="rId1"/>
  <headerFooter alignWithMargins="0">
    <oddFooter>&amp;A</oddFooter>
  </headerFooter>
  <colBreaks count="1" manualBreakCount="1">
    <brk id="18" max="48"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N36"/>
  <sheetViews>
    <sheetView zoomScale="85" zoomScaleNormal="85" zoomScaleSheetLayoutView="50" workbookViewId="0">
      <selection activeCell="B30" sqref="B30"/>
    </sheetView>
  </sheetViews>
  <sheetFormatPr baseColWidth="10" defaultRowHeight="13.5"/>
  <cols>
    <col min="1" max="1" width="76.1640625" style="341" customWidth="1"/>
    <col min="2" max="2" width="23.33203125" style="341" customWidth="1"/>
    <col min="3" max="3" width="19.1640625" style="341" customWidth="1"/>
    <col min="4" max="4" width="3.33203125" style="341" customWidth="1"/>
    <col min="5" max="5" width="11" style="341" customWidth="1"/>
    <col min="6" max="6" width="17.33203125" style="341" customWidth="1"/>
    <col min="7" max="7" width="15" style="341" customWidth="1"/>
    <col min="8" max="8" width="14.6640625" style="341" customWidth="1"/>
    <col min="9" max="9" width="16.5" style="341" customWidth="1"/>
    <col min="10" max="10" width="18.6640625" style="341" customWidth="1"/>
    <col min="11" max="11" width="19" style="341" customWidth="1"/>
    <col min="12" max="16384" width="12" style="341"/>
  </cols>
  <sheetData>
    <row r="1" spans="1:11" ht="14.25" customHeight="1">
      <c r="A1" s="333" t="str">
        <f>IF('1.Datos Básicos. Product-Serv'!B5=0,"",'1.Datos Básicos. Product-Serv'!B5)</f>
        <v/>
      </c>
    </row>
    <row r="2" spans="1:11" ht="15" customHeight="1">
      <c r="A2" s="339"/>
    </row>
    <row r="3" spans="1:11" ht="23.25" customHeight="1">
      <c r="A3" s="434" t="s">
        <v>200</v>
      </c>
      <c r="B3" s="437"/>
      <c r="C3" s="435" t="str">
        <f>"Arranque "&amp;Año_comienzo_Plan</f>
        <v xml:space="preserve">Arranque </v>
      </c>
    </row>
    <row r="4" spans="1:11" ht="15.75" customHeight="1" thickBot="1"/>
    <row r="5" spans="1:11" ht="33" thickTop="1" thickBot="1">
      <c r="A5" s="3187" t="s">
        <v>103</v>
      </c>
      <c r="B5" s="3188" t="s">
        <v>125</v>
      </c>
      <c r="C5" s="3189" t="s">
        <v>104</v>
      </c>
    </row>
    <row r="6" spans="1:11" ht="17.25" thickTop="1" thickBot="1">
      <c r="A6" s="2451" t="s">
        <v>248</v>
      </c>
      <c r="B6" s="2479">
        <f>SUM(B7,B11:B16)</f>
        <v>0</v>
      </c>
      <c r="C6" s="2480" t="str">
        <f t="shared" ref="C6:C32" si="0">IF(B$32=0,"",B6/$B$32)</f>
        <v/>
      </c>
    </row>
    <row r="7" spans="1:11" ht="16.5" thickTop="1">
      <c r="A7" s="2482" t="s">
        <v>46</v>
      </c>
      <c r="B7" s="2483">
        <f>SUM(B8:B10)</f>
        <v>0</v>
      </c>
      <c r="C7" s="413" t="str">
        <f t="shared" si="0"/>
        <v/>
      </c>
      <c r="F7" s="345"/>
    </row>
    <row r="8" spans="1:11" ht="15">
      <c r="A8" s="407" t="s">
        <v>461</v>
      </c>
      <c r="B8" s="358">
        <f>'7. Plan Invers-Financ (1º,2º)'!O13</f>
        <v>0</v>
      </c>
      <c r="C8" s="414" t="str">
        <f t="shared" si="0"/>
        <v/>
      </c>
      <c r="D8" s="415"/>
      <c r="E8" s="416"/>
      <c r="F8" s="416"/>
      <c r="G8" s="417"/>
      <c r="H8" s="418"/>
    </row>
    <row r="9" spans="1:11" ht="15">
      <c r="A9" s="407" t="s">
        <v>462</v>
      </c>
      <c r="B9" s="358">
        <f>'7. Plan Invers-Financ (1º,2º)'!O14</f>
        <v>0</v>
      </c>
      <c r="C9" s="414" t="str">
        <f t="shared" si="0"/>
        <v/>
      </c>
      <c r="D9" s="415"/>
      <c r="E9" s="416"/>
      <c r="F9" s="416"/>
      <c r="G9" s="417"/>
      <c r="H9" s="418"/>
    </row>
    <row r="10" spans="1:11" ht="15.75">
      <c r="A10" s="407" t="s">
        <v>293</v>
      </c>
      <c r="B10" s="358">
        <f>IF(Consolidación?="NO",SUM('(0) 1a. Activos de Partida'!H7+'(0) 1a. Activos de Partida'!H32),"0")</f>
        <v>0</v>
      </c>
      <c r="C10" s="414" t="str">
        <f t="shared" si="0"/>
        <v/>
      </c>
      <c r="E10" s="416"/>
      <c r="F10" s="1123"/>
      <c r="G10" s="1124"/>
      <c r="H10" s="1124"/>
      <c r="I10" s="1124"/>
      <c r="J10" s="1124"/>
    </row>
    <row r="11" spans="1:11" ht="15">
      <c r="A11" s="407" t="s">
        <v>498</v>
      </c>
      <c r="B11" s="358">
        <f>('7. Plan Invers-Financ (1º,2º)'!O23+'7. Plan Invers-Financ (1º,2º)'!O24)-'7. Plan Invers-Financ (1º,2º)'!O43</f>
        <v>0</v>
      </c>
      <c r="C11" s="414" t="str">
        <f t="shared" si="0"/>
        <v/>
      </c>
      <c r="E11" s="416"/>
      <c r="F11" s="1125"/>
      <c r="G11" s="1125"/>
      <c r="H11" s="1125"/>
      <c r="I11" s="1125"/>
      <c r="J11" s="1125"/>
    </row>
    <row r="12" spans="1:11" ht="16.5" hidden="1" customHeight="1">
      <c r="A12" s="1352" t="s">
        <v>463</v>
      </c>
      <c r="B12" s="1350"/>
      <c r="C12" s="414" t="str">
        <f t="shared" si="0"/>
        <v/>
      </c>
      <c r="D12" s="1401"/>
      <c r="F12" s="418"/>
    </row>
    <row r="13" spans="1:11" ht="16.5" hidden="1" customHeight="1">
      <c r="A13" s="1352" t="s">
        <v>530</v>
      </c>
      <c r="B13" s="1350"/>
      <c r="C13" s="414" t="str">
        <f t="shared" si="0"/>
        <v/>
      </c>
      <c r="D13" s="1401"/>
      <c r="F13" s="418"/>
    </row>
    <row r="14" spans="1:11" ht="16.5" customHeight="1">
      <c r="A14" s="1352" t="s">
        <v>603</v>
      </c>
      <c r="B14" s="1940">
        <f>'7. Plan Invers-Financ (1º,2º)'!O30</f>
        <v>0</v>
      </c>
      <c r="C14" s="414" t="str">
        <f t="shared" si="0"/>
        <v/>
      </c>
      <c r="D14" s="1337"/>
      <c r="E14" s="418"/>
      <c r="F14" s="275"/>
      <c r="G14" s="275"/>
      <c r="H14" s="275"/>
      <c r="I14" s="275"/>
      <c r="J14" s="275"/>
      <c r="K14" s="275"/>
    </row>
    <row r="15" spans="1:11" ht="15">
      <c r="A15" s="407" t="s">
        <v>499</v>
      </c>
      <c r="B15" s="358">
        <f>'7. Plan Invers-Financ (1º,2º)'!O20</f>
        <v>0</v>
      </c>
      <c r="C15" s="414" t="str">
        <f t="shared" si="0"/>
        <v/>
      </c>
      <c r="D15" s="418"/>
      <c r="E15" s="418"/>
      <c r="F15" s="275"/>
      <c r="G15" s="275"/>
      <c r="H15" s="275"/>
      <c r="I15" s="275"/>
      <c r="J15" s="275"/>
      <c r="K15" s="275"/>
    </row>
    <row r="16" spans="1:11" ht="16.5" customHeight="1" thickBot="1">
      <c r="A16" s="407" t="s">
        <v>500</v>
      </c>
      <c r="B16" s="358">
        <f>'7. Plan Invers-Financ (1º,2º)'!O27</f>
        <v>0</v>
      </c>
      <c r="C16" s="414" t="str">
        <f t="shared" si="0"/>
        <v/>
      </c>
      <c r="D16" s="420"/>
      <c r="E16" s="3690" t="s">
        <v>557</v>
      </c>
      <c r="F16" s="3529"/>
      <c r="G16" s="3529"/>
      <c r="H16" s="3691"/>
      <c r="I16" s="3691"/>
      <c r="J16" s="3691"/>
      <c r="K16" s="275"/>
    </row>
    <row r="17" spans="1:14" ht="17.25" thickTop="1" thickBot="1">
      <c r="A17" s="2451" t="s">
        <v>249</v>
      </c>
      <c r="B17" s="2479">
        <f>B18+B23</f>
        <v>0</v>
      </c>
      <c r="C17" s="2481" t="str">
        <f t="shared" si="0"/>
        <v/>
      </c>
      <c r="F17" s="1196"/>
      <c r="G17" s="1196"/>
      <c r="H17" s="1196"/>
      <c r="I17" s="1197"/>
      <c r="J17" s="1197"/>
      <c r="K17" s="1197"/>
    </row>
    <row r="18" spans="1:14" ht="18.75" customHeight="1" thickTop="1">
      <c r="A18" s="2482" t="s">
        <v>429</v>
      </c>
      <c r="B18" s="2483">
        <f>SUM(B19:B22)</f>
        <v>0</v>
      </c>
      <c r="C18" s="413" t="str">
        <f t="shared" si="0"/>
        <v/>
      </c>
      <c r="D18" s="418"/>
      <c r="F18" s="1198"/>
      <c r="G18" s="1198"/>
      <c r="H18" s="1198"/>
      <c r="I18" s="1198"/>
      <c r="J18" s="1198"/>
      <c r="K18" s="1198"/>
    </row>
    <row r="19" spans="1:14" ht="16.5" hidden="1" customHeight="1">
      <c r="A19" s="1395" t="s">
        <v>468</v>
      </c>
      <c r="B19" s="1340"/>
      <c r="C19" s="419" t="str">
        <f t="shared" si="0"/>
        <v/>
      </c>
      <c r="D19" s="1401"/>
      <c r="E19" s="3690" t="s">
        <v>556</v>
      </c>
      <c r="F19" s="3529"/>
      <c r="G19" s="3529"/>
      <c r="H19" s="3691"/>
      <c r="I19" s="3691"/>
      <c r="J19" s="3691"/>
      <c r="K19" s="1199"/>
    </row>
    <row r="20" spans="1:14" ht="18.75" customHeight="1">
      <c r="A20" s="407" t="s">
        <v>559</v>
      </c>
      <c r="B20" s="1142">
        <f>'7. Plan Invers-Financ (1º,2º)'!AA49*0+'7. Plan Invers-Financ (1º,2º)'!O38</f>
        <v>0</v>
      </c>
      <c r="C20" s="414" t="str">
        <f t="shared" si="0"/>
        <v/>
      </c>
      <c r="D20" s="418"/>
      <c r="E20" s="3690" t="s">
        <v>555</v>
      </c>
      <c r="F20" s="3529"/>
      <c r="G20" s="3529"/>
      <c r="H20" s="3691"/>
      <c r="I20" s="3691"/>
      <c r="J20" s="3691"/>
      <c r="K20" s="1199"/>
    </row>
    <row r="21" spans="1:14" ht="17.25" customHeight="1">
      <c r="A21" s="1395" t="s">
        <v>525</v>
      </c>
      <c r="B21" s="1940"/>
      <c r="C21" s="414" t="str">
        <f t="shared" si="0"/>
        <v/>
      </c>
      <c r="D21" s="1337"/>
      <c r="E21" s="3690" t="s">
        <v>526</v>
      </c>
      <c r="F21" s="3529"/>
      <c r="G21" s="3529"/>
      <c r="H21" s="3691"/>
      <c r="I21" s="3691"/>
      <c r="J21" s="3690"/>
      <c r="K21" s="3529"/>
      <c r="L21" s="3529"/>
      <c r="M21" s="3691"/>
      <c r="N21" s="3691"/>
    </row>
    <row r="22" spans="1:14" ht="18" customHeight="1">
      <c r="A22" s="407" t="s">
        <v>529</v>
      </c>
      <c r="B22" s="1142">
        <f>'7. Plan Invers-Financ (1º,2º)'!O39</f>
        <v>0</v>
      </c>
      <c r="C22" s="414" t="str">
        <f t="shared" si="0"/>
        <v/>
      </c>
      <c r="D22" s="418"/>
      <c r="E22" s="3690" t="s">
        <v>811</v>
      </c>
      <c r="F22" s="3529"/>
      <c r="G22" s="3529"/>
      <c r="H22" s="3691"/>
      <c r="I22" s="3691"/>
      <c r="J22" s="275"/>
      <c r="K22" s="275"/>
    </row>
    <row r="23" spans="1:14" ht="15.75">
      <c r="A23" s="2484" t="s">
        <v>430</v>
      </c>
      <c r="B23" s="2485">
        <f>SUM(B24:B28)+B31</f>
        <v>0</v>
      </c>
      <c r="C23" s="423" t="str">
        <f t="shared" si="0"/>
        <v/>
      </c>
      <c r="D23" s="418"/>
      <c r="E23" s="395"/>
      <c r="F23" s="424"/>
      <c r="G23" s="417"/>
      <c r="H23" s="418"/>
    </row>
    <row r="24" spans="1:14" ht="18" customHeight="1">
      <c r="A24" s="1395" t="s">
        <v>395</v>
      </c>
      <c r="B24" s="1941"/>
      <c r="C24" s="419" t="str">
        <f t="shared" si="0"/>
        <v/>
      </c>
      <c r="D24" s="1337"/>
      <c r="E24" s="3690" t="s">
        <v>812</v>
      </c>
      <c r="F24" s="3529"/>
      <c r="G24" s="3529"/>
      <c r="H24" s="3691"/>
      <c r="I24" s="3691"/>
    </row>
    <row r="25" spans="1:14" ht="18" customHeight="1">
      <c r="A25" s="1396" t="s">
        <v>400</v>
      </c>
      <c r="B25" s="1940"/>
      <c r="C25" s="414" t="str">
        <f t="shared" si="0"/>
        <v/>
      </c>
      <c r="D25" s="1582"/>
      <c r="E25" s="3690" t="s">
        <v>840</v>
      </c>
      <c r="F25" s="3529"/>
      <c r="G25" s="3529"/>
      <c r="H25" s="3691"/>
      <c r="I25" s="3691"/>
    </row>
    <row r="26" spans="1:14" ht="18" hidden="1" customHeight="1">
      <c r="A26" s="1397" t="s">
        <v>442</v>
      </c>
      <c r="B26" s="1940"/>
      <c r="C26" s="414" t="str">
        <f t="shared" si="0"/>
        <v/>
      </c>
      <c r="D26" s="1401"/>
      <c r="E26" s="3690"/>
      <c r="F26" s="3529"/>
      <c r="G26" s="3529"/>
      <c r="H26" s="3691"/>
      <c r="I26" s="3691"/>
    </row>
    <row r="27" spans="1:14" ht="18" hidden="1" customHeight="1">
      <c r="A27" s="1397" t="s">
        <v>402</v>
      </c>
      <c r="B27" s="1940"/>
      <c r="C27" s="414" t="str">
        <f t="shared" si="0"/>
        <v/>
      </c>
      <c r="D27" s="1337"/>
      <c r="E27" s="3690" t="s">
        <v>813</v>
      </c>
      <c r="F27" s="3529"/>
      <c r="G27" s="3529"/>
      <c r="H27" s="3691"/>
      <c r="I27" s="3691"/>
    </row>
    <row r="28" spans="1:14" ht="18" customHeight="1">
      <c r="A28" s="1356" t="s">
        <v>401</v>
      </c>
      <c r="B28" s="1357">
        <f>SUM(B29:B30)</f>
        <v>0</v>
      </c>
      <c r="C28" s="425" t="str">
        <f t="shared" si="0"/>
        <v/>
      </c>
      <c r="D28" s="1337"/>
      <c r="E28" s="395"/>
      <c r="F28" s="418"/>
    </row>
    <row r="29" spans="1:14" ht="15.75">
      <c r="A29" s="1398" t="s">
        <v>604</v>
      </c>
      <c r="B29" s="1940"/>
      <c r="C29" s="414" t="str">
        <f t="shared" si="0"/>
        <v/>
      </c>
      <c r="D29" s="1337"/>
      <c r="E29" s="3690" t="s">
        <v>841</v>
      </c>
      <c r="F29" s="3529"/>
      <c r="G29" s="3529"/>
      <c r="H29" s="3691"/>
      <c r="I29" s="3691"/>
    </row>
    <row r="30" spans="1:14" ht="15.75">
      <c r="A30" s="1398" t="s">
        <v>605</v>
      </c>
      <c r="B30" s="1940"/>
      <c r="C30" s="414" t="str">
        <f t="shared" si="0"/>
        <v/>
      </c>
      <c r="D30" s="1337"/>
      <c r="E30" s="3690" t="s">
        <v>842</v>
      </c>
      <c r="F30" s="3529"/>
      <c r="G30" s="3529"/>
      <c r="H30" s="3691"/>
      <c r="I30" s="3691"/>
    </row>
    <row r="31" spans="1:14" ht="16.5" thickBot="1">
      <c r="A31" s="3224" t="s">
        <v>853</v>
      </c>
      <c r="B31" s="3225">
        <f>'7. Plan Invers-Financ (1º,2º)'!O43</f>
        <v>0</v>
      </c>
      <c r="C31" s="421"/>
      <c r="D31" s="1401"/>
      <c r="E31" s="3221"/>
      <c r="F31" s="3220"/>
      <c r="G31" s="3220"/>
      <c r="H31" s="3222"/>
      <c r="I31" s="3222"/>
    </row>
    <row r="32" spans="1:14" ht="17.25" thickTop="1" thickBot="1">
      <c r="A32" s="2486" t="s">
        <v>235</v>
      </c>
      <c r="B32" s="2487">
        <f>B6+B17</f>
        <v>0</v>
      </c>
      <c r="C32" s="2488" t="str">
        <f t="shared" si="0"/>
        <v/>
      </c>
      <c r="D32" s="418"/>
    </row>
    <row r="33" spans="1:3" ht="20.25" thickTop="1">
      <c r="A33" s="426"/>
      <c r="B33" s="427"/>
      <c r="C33" s="428"/>
    </row>
    <row r="34" spans="1:3" ht="18.75" hidden="1">
      <c r="A34" s="429" t="s">
        <v>80</v>
      </c>
      <c r="B34" s="430"/>
      <c r="C34" s="431"/>
    </row>
    <row r="35" spans="1:3" ht="14.25" thickBot="1"/>
    <row r="36" spans="1:3" ht="15" customHeight="1" thickBot="1">
      <c r="A36" s="432" t="str">
        <f>'(0) 1a. Activos de Partida'!A42</f>
        <v>Tesorería Inicial (Disponible)</v>
      </c>
      <c r="B36" s="433">
        <f>'(0) 1a. Activos de Partida'!B42</f>
        <v>0</v>
      </c>
    </row>
  </sheetData>
  <sheetProtection sheet="1" formatColumns="0" formatRows="0"/>
  <mergeCells count="12">
    <mergeCell ref="E16:J16"/>
    <mergeCell ref="E20:J20"/>
    <mergeCell ref="E22:I22"/>
    <mergeCell ref="E24:I24"/>
    <mergeCell ref="E30:I30"/>
    <mergeCell ref="E21:I21"/>
    <mergeCell ref="E19:J19"/>
    <mergeCell ref="J21:N21"/>
    <mergeCell ref="E26:I26"/>
    <mergeCell ref="E25:I25"/>
    <mergeCell ref="E27:I27"/>
    <mergeCell ref="E29:I29"/>
  </mergeCells>
  <phoneticPr fontId="9" type="noConversion"/>
  <conditionalFormatting sqref="A36">
    <cfRule type="expression" dxfId="115" priority="15" stopIfTrue="1">
      <formula>B36&lt;0</formula>
    </cfRule>
  </conditionalFormatting>
  <dataValidations count="1">
    <dataValidation allowBlank="1" showInputMessage="1" sqref="F12:J13 F10 G1:J9 F1:F6 K1:K16 N1:R18 K19:K20 L1:M20 F32:I65536 F28:I28 G23:I23 A1:E1048576 K22:R65536 J21:J65536 S1:IV1048576"/>
  </dataValidations>
  <printOptions horizontalCentered="1" verticalCentered="1"/>
  <pageMargins left="0.78740157480314965" right="0.78740157480314965" top="0.98425196850393704" bottom="0.98425196850393704" header="0" footer="0"/>
  <pageSetup paperSize="9" scale="62" orientation="landscape" horizontalDpi="4294967293" r:id="rId1"/>
  <headerFooter alignWithMargins="0">
    <oddFooter>&amp;A</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S29"/>
  <sheetViews>
    <sheetView zoomScale="65" zoomScaleNormal="65" zoomScaleSheetLayoutView="50" workbookViewId="0">
      <selection activeCell="T15" sqref="T15"/>
    </sheetView>
  </sheetViews>
  <sheetFormatPr baseColWidth="10" defaultColWidth="11.1640625" defaultRowHeight="15.75"/>
  <cols>
    <col min="1" max="1" width="37.6640625" style="338" bestFit="1" customWidth="1"/>
    <col min="2" max="2" width="21" style="336" customWidth="1"/>
    <col min="3" max="3" width="20" style="336" customWidth="1"/>
    <col min="4" max="4" width="22" style="507" customWidth="1"/>
    <col min="5" max="6" width="16.33203125" style="507" hidden="1" customWidth="1"/>
    <col min="7" max="7" width="13.6640625" style="507" customWidth="1"/>
    <col min="8" max="8" width="18.6640625" style="508" customWidth="1"/>
    <col min="9" max="9" width="22.6640625" style="440" customWidth="1"/>
    <col min="10" max="10" width="21" style="440" customWidth="1"/>
    <col min="11" max="11" width="22.5" style="440" customWidth="1"/>
    <col min="12" max="12" width="16.33203125" style="440" hidden="1" customWidth="1"/>
    <col min="13" max="13" width="22.83203125" style="440" customWidth="1"/>
    <col min="14" max="14" width="16.33203125" style="336" hidden="1" customWidth="1"/>
    <col min="15" max="15" width="22.5" style="336" customWidth="1"/>
    <col min="16" max="16" width="16.33203125" style="336" hidden="1" customWidth="1"/>
    <col min="17" max="17" width="22.6640625" style="336" customWidth="1"/>
    <col min="18" max="16384" width="11.1640625" style="338"/>
  </cols>
  <sheetData>
    <row r="1" spans="1:19" ht="14.25" customHeight="1">
      <c r="A1" s="333" t="str">
        <f>IF('1.Datos Básicos. Product-Serv'!B5=0,"",'1.Datos Básicos. Product-Serv'!B5)</f>
        <v/>
      </c>
      <c r="B1" s="396"/>
      <c r="C1" s="396"/>
      <c r="D1" s="438"/>
      <c r="E1" s="438"/>
      <c r="F1" s="438"/>
      <c r="G1" s="438"/>
      <c r="H1" s="439"/>
      <c r="M1" s="336"/>
    </row>
    <row r="2" spans="1:19" ht="20.25" customHeight="1">
      <c r="B2" s="441"/>
      <c r="C2" s="441"/>
      <c r="D2" s="442"/>
      <c r="E2" s="442"/>
      <c r="F2" s="442"/>
      <c r="G2" s="442"/>
      <c r="H2" s="336"/>
      <c r="I2" s="336"/>
      <c r="J2" s="336"/>
      <c r="K2" s="336"/>
      <c r="L2" s="336"/>
      <c r="M2" s="336"/>
      <c r="N2" s="338"/>
      <c r="O2" s="338"/>
      <c r="P2" s="338"/>
      <c r="Q2" s="338"/>
    </row>
    <row r="3" spans="1:19" ht="23.25" customHeight="1">
      <c r="A3" s="333" t="s">
        <v>110</v>
      </c>
      <c r="B3" s="396"/>
      <c r="C3" s="396"/>
      <c r="D3" s="443"/>
      <c r="E3" s="444"/>
      <c r="F3" s="444"/>
      <c r="G3" s="444"/>
      <c r="H3" s="336"/>
      <c r="I3" s="336"/>
      <c r="J3" s="336"/>
      <c r="K3" s="336"/>
      <c r="L3" s="336"/>
      <c r="M3" s="336"/>
    </row>
    <row r="4" spans="1:19" ht="9" customHeight="1">
      <c r="A4" s="333"/>
      <c r="B4" s="444"/>
      <c r="C4" s="396"/>
      <c r="D4" s="443"/>
      <c r="E4" s="444"/>
      <c r="F4" s="438"/>
      <c r="G4" s="438"/>
      <c r="H4" s="336"/>
      <c r="I4" s="336"/>
      <c r="J4" s="336"/>
      <c r="K4" s="336"/>
      <c r="L4" s="336"/>
      <c r="M4" s="336"/>
    </row>
    <row r="5" spans="1:19" ht="18" customHeight="1">
      <c r="A5" s="345" t="s">
        <v>364</v>
      </c>
      <c r="B5" s="396"/>
      <c r="C5" s="1219"/>
      <c r="D5" s="443"/>
      <c r="E5" s="444"/>
      <c r="F5" s="438"/>
      <c r="G5" s="438"/>
      <c r="H5" s="336"/>
      <c r="I5" s="336"/>
      <c r="J5" s="336"/>
      <c r="K5" s="336"/>
      <c r="L5" s="336"/>
      <c r="M5" s="336"/>
    </row>
    <row r="6" spans="1:19" ht="12" customHeight="1" thickBot="1">
      <c r="C6" s="1220"/>
      <c r="D6" s="445"/>
      <c r="E6" s="446"/>
      <c r="F6" s="447"/>
      <c r="G6" s="438"/>
      <c r="H6" s="448"/>
      <c r="J6" s="449"/>
      <c r="L6" s="449"/>
      <c r="N6" s="400"/>
      <c r="P6" s="400"/>
    </row>
    <row r="7" spans="1:19" s="450" customFormat="1" ht="31.5" customHeight="1" thickTop="1">
      <c r="A7" s="3715" t="s">
        <v>38</v>
      </c>
      <c r="B7" s="3717" t="s">
        <v>201</v>
      </c>
      <c r="C7" s="3719" t="s">
        <v>393</v>
      </c>
      <c r="D7" s="3719" t="s">
        <v>431</v>
      </c>
      <c r="E7" s="3705" t="s">
        <v>363</v>
      </c>
      <c r="F7" s="3721" t="s">
        <v>234</v>
      </c>
      <c r="G7" s="3723" t="s">
        <v>365</v>
      </c>
      <c r="H7" s="3711" t="str">
        <f>"Activos Netos ejerc. "&amp;Año_Com_Ejerc_1&amp;" + Nuevas Inversiones"</f>
        <v>Activos Netos ejerc. 0 + Nuevas Inversiones</v>
      </c>
      <c r="I7" s="3713" t="str">
        <f>"Cuota Anual Amortización, 1º ejerc. "&amp;'1.Datos Básicos. Product-Serv'!B11</f>
        <v>Cuota Anual Amortización, 1º ejerc. 0</v>
      </c>
      <c r="J7" s="3711" t="str">
        <f>"Activos Netos ejerc. "&amp;Año_Com_Ejerc_2&amp;" + Nuevas Inversiones"</f>
        <v>Activos Netos ejerc. 1 + Nuevas Inversiones</v>
      </c>
      <c r="K7" s="3713" t="str">
        <f>"Cuota Anual Amortización, 2º ejerc. "&amp;'1.Datos Básicos. Product-Serv'!E11</f>
        <v>Cuota Anual Amortización, 2º ejerc. 1</v>
      </c>
      <c r="L7" s="3709" t="str">
        <f>"Activos Netos ejerc. "&amp;Año_Com_Ejerc_3&amp;" + Nuevas Inversiones"</f>
        <v>Activos Netos ejerc. 2 + Nuevas Inversiones</v>
      </c>
      <c r="M7" s="3705" t="str">
        <f>"Cuota Anual Amortización, 3º ejerc. "&amp;'1.Datos Básicos. Product-Serv'!F11</f>
        <v>Cuota Anual Amortización, 3º ejerc. 2</v>
      </c>
      <c r="N7" s="3707" t="str">
        <f>"Activos Netos ejerc. "&amp;Año_Com_Ejerc_4&amp;" + Nuevas Inversiones"</f>
        <v>Activos Netos ejerc. 3 + Nuevas Inversiones</v>
      </c>
      <c r="O7" s="3705" t="str">
        <f>"Cuota Anual Amortización, 4º ejerc. "&amp;'1.Datos Básicos. Product-Serv'!G11</f>
        <v>Cuota Anual Amortización, 4º ejerc. 3</v>
      </c>
      <c r="P7" s="3709" t="str">
        <f>"Activos Netos ejerc. "&amp;Año_Com_Ejerc_5&amp;" + Nuevas Inversiones"</f>
        <v>Activos Netos ejerc. 4 + Nuevas Inversiones</v>
      </c>
      <c r="Q7" s="3705" t="str">
        <f>"Cuota Anual Amortización, 5º ejerc. "&amp;'1.Datos Básicos. Product-Serv'!H11</f>
        <v>Cuota Anual Amortización, 5º ejerc. 4</v>
      </c>
    </row>
    <row r="8" spans="1:19" s="360" customFormat="1" ht="41.25" customHeight="1" thickBot="1">
      <c r="A8" s="3716"/>
      <c r="B8" s="3718"/>
      <c r="C8" s="3720"/>
      <c r="D8" s="3720"/>
      <c r="E8" s="3706"/>
      <c r="F8" s="3722"/>
      <c r="G8" s="3724"/>
      <c r="H8" s="3712"/>
      <c r="I8" s="3714"/>
      <c r="J8" s="3712"/>
      <c r="K8" s="3714"/>
      <c r="L8" s="3710"/>
      <c r="M8" s="3706"/>
      <c r="N8" s="3708"/>
      <c r="O8" s="3706"/>
      <c r="P8" s="3710"/>
      <c r="Q8" s="3706"/>
    </row>
    <row r="9" spans="1:19" s="368" customFormat="1" ht="20.25" customHeight="1" thickTop="1">
      <c r="A9" s="451" t="str">
        <f>'(0) 1a. Activos de Partida'!A9</f>
        <v>Terrenos y Bienes Naturales</v>
      </c>
      <c r="B9" s="452">
        <f>IF(Consolidación?="NO",'(0) 1a. Activos de Partida'!H9+'(0) 1a. Activos de Partida'!I9,'(0) 1a. Activos de Partida'!E9)</f>
        <v>0</v>
      </c>
      <c r="C9" s="453">
        <f>'7. Plan Invers-Financ (1º,2º)'!I13</f>
        <v>0</v>
      </c>
      <c r="D9" s="454">
        <v>0</v>
      </c>
      <c r="E9" s="455">
        <f>IF('(0) 1a. Activos de Partida'!F9&gt;0,'(0) 1a. Activos de Partida'!B9-'(0) 1a. Activos de Partida'!F9,B9)</f>
        <v>0</v>
      </c>
      <c r="F9" s="456"/>
      <c r="G9" s="1228" t="str">
        <f>IF(B9&gt;0,IF((E9/B9*D9*100)&lt;=0,0,ROUNDUP((E9/(B9*D9)),0)),"")</f>
        <v/>
      </c>
      <c r="H9" s="457"/>
      <c r="I9" s="1418"/>
      <c r="J9" s="1419"/>
      <c r="K9" s="1418"/>
      <c r="L9" s="1419"/>
      <c r="M9" s="1418"/>
      <c r="N9" s="1419"/>
      <c r="O9" s="1418"/>
      <c r="P9" s="1419"/>
      <c r="Q9" s="1418"/>
    </row>
    <row r="10" spans="1:19" ht="20.25" customHeight="1">
      <c r="A10" s="1221" t="str">
        <f>'(0) 1a. Activos de Partida'!A10</f>
        <v xml:space="preserve">Construcciones </v>
      </c>
      <c r="B10" s="1222">
        <f>IF(Consolidación?="NO",'(0) 1a. Activos de Partida'!H10+'(0) 1a. Activos de Partida'!I10+'(0) 1a. Activos de Partida'!E10,'(0) 1a. Activos de Partida'!E10+'(0) 1a. Activos de Partida'!H10+'(0) 1a. Activos de Partida'!I10)</f>
        <v>0</v>
      </c>
      <c r="C10" s="2528">
        <f>'7. Plan Invers-Financ (1º,2º)'!I14</f>
        <v>33</v>
      </c>
      <c r="D10" s="1223">
        <f t="shared" ref="D10:D17" si="0">1/C10</f>
        <v>3.0303030303030304E-2</v>
      </c>
      <c r="E10" s="1224">
        <f>IF('(0) 1a. Activos de Partida'!F10&gt;0,'(0) 1a. Activos de Partida'!B10-'(0) 1a. Activos de Partida'!F10,B10)</f>
        <v>0</v>
      </c>
      <c r="F10" s="1225">
        <f>IF(G10&gt;0,1/G10,0)</f>
        <v>0</v>
      </c>
      <c r="G10" s="1228">
        <f t="shared" ref="G10:G17" si="1">IF(B10&gt;0,IF((E10/B10*D10*100)&lt;=0,0,ROUNDUP((E10/(B10*D10)),0)),0)</f>
        <v>0</v>
      </c>
      <c r="H10" s="2375">
        <f>E10+IF(('7. Plan Invers-Financ (1º,2º)'!AB14)="r",0,'7. Plan Invers-Financ (1º,2º)'!AA14)</f>
        <v>0</v>
      </c>
      <c r="I10" s="2377">
        <f>IF((IF(G10=1,E10,E10*F10)+'7. Plan Invers-Financ (1º,2º)'!AA14*D10)&lt;H10,IF(G10=1,E10,E10*F10)+'7. Plan Invers-Financ (1º,2º)'!AA14*D10,H10)</f>
        <v>0</v>
      </c>
      <c r="J10" s="2376">
        <f>H10-I10+IF('7. Plan Invers-Financ (1º,2º)'!AM14="R",0,'7. Plan Invers-Financ (1º,2º)'!AL14)</f>
        <v>0</v>
      </c>
      <c r="K10" s="2377">
        <f>IF((IF($G10&gt;1,$E10*$F10,0)+IF(1/D10&gt;1,'7. Plan Invers-Financ (1º,2º)'!AA14*D10,0)+'7. Plan Invers-Financ (1º,2º)'!$AL14*$D10)&lt;J10,IF($G10&gt;1,$E10*$F10,0)+IF(1/D10&gt;1,'7. Plan Invers-Financ (1º,2º)'!AA14*D10,0)+'7. Plan Invers-Financ (1º,2º)'!$AL14*$D10,J10)</f>
        <v>0</v>
      </c>
      <c r="L10" s="1226">
        <f>J10-K10+IF('7. Plan Invers-Financ (1º,2º)'!AW14="R",0,'7. Plan Invers-Financ (1º,2º)'!AV14)</f>
        <v>0</v>
      </c>
      <c r="M10" s="2377">
        <f>IF((IF($G10&gt;2,$E10*$F10,0)+IF(1/$D10&gt;2,'7. Plan Invers-Financ (1º,2º)'!$AA14*$D10,0)+IF(1/$D10&gt;1,'7. Plan Invers-Financ (1º,2º)'!$AL14*$D10,0)+'7. Plan Invers-Financ (1º,2º)'!$AV14*$D10)&lt;L10,IF($G10&gt;2,$E10*$F10,0)+IF(1/$D10&gt;2,'7. Plan Invers-Financ (1º,2º)'!$AA14*$D10,0)+IF(1/$D10&gt;1,'7. Plan Invers-Financ (1º,2º)'!$AL14*$D10,0)+'7. Plan Invers-Financ (1º,2º)'!$AV14*$D10,L10)</f>
        <v>0</v>
      </c>
      <c r="N10" s="1226">
        <f>L10-M10+IF('7. Plan Invers-Financ (1º,2º)'!AZ14="R",0,'7. Plan Invers-Financ (1º,2º)'!AY14)</f>
        <v>0</v>
      </c>
      <c r="O10" s="2377">
        <f>IF((IF($G10&gt;3,$E10*$F10,0)+IF(1/$D10&gt;3,'7. Plan Invers-Financ (1º,2º)'!$AA14*$D10,0)+IF(1/$D10&gt;2,'7. Plan Invers-Financ (1º,2º)'!$AL14*$D10,0)+IF(1/$D10&gt;1,'7. Plan Invers-Financ (1º,2º)'!$AV14*$D10,0)+'7. Plan Invers-Financ (1º,2º)'!$AY14*$D10)&lt;N10,IF($G10&gt;3,$E10*$F10,0)+IF(1/$D10&gt;3,'7. Plan Invers-Financ (1º,2º)'!$AA14*$D10,0)+IF(1/$D10&gt;2,'7. Plan Invers-Financ (1º,2º)'!$AL14*$D10,0)+IF(1/$D10&gt;1,'7. Plan Invers-Financ (1º,2º)'!$AV14*$D10,0)+'7. Plan Invers-Financ (1º,2º)'!$AY14*$D10,N10)</f>
        <v>0</v>
      </c>
      <c r="P10" s="2376">
        <f>N10-O10+IF('7. Plan Invers-Financ (1º,2º)'!BC14="R",0,'7. Plan Invers-Financ (1º,2º)'!BB14)</f>
        <v>0</v>
      </c>
      <c r="Q10" s="2377">
        <f>IF((IF($G10&gt;4,$E10*$F10,0)+IF(1/$D10&gt;4,'7. Plan Invers-Financ (1º,2º)'!$AA14*$D10,0)+IF(1/$D10&gt;3,'7. Plan Invers-Financ (1º,2º)'!$AL14*$D10,0)+IF(1/$D10&gt;2,'7. Plan Invers-Financ (1º,2º)'!$AV14*$D10,0)+IF(1/$D10&gt;1,'7. Plan Invers-Financ (1º,2º)'!$AY14*$D10,0)+'7. Plan Invers-Financ (1º,2º)'!$BB14*$D10)&lt;P10,IF($G10&gt;4,$E10*$F10,0)+IF(1/$D10&gt;4,'7. Plan Invers-Financ (1º,2º)'!$AA14*$D10,0)+IF(1/$D10&gt;3,'7. Plan Invers-Financ (1º,2º)'!$AL14*$D10,0)+IF(1/$D10&gt;2,'7. Plan Invers-Financ (1º,2º)'!$AV14*$D10,0)+IF(1/$D10&gt;1,'7. Plan Invers-Financ (1º,2º)'!$AY14*$D10,0)+'7. Plan Invers-Financ (1º,2º)'!$BB14*$D10,P10)</f>
        <v>0</v>
      </c>
      <c r="S10" s="459"/>
    </row>
    <row r="11" spans="1:19" ht="20.25" customHeight="1">
      <c r="A11" s="1227" t="str">
        <f>'(0) 1a. Activos de Partida'!A11</f>
        <v xml:space="preserve">Instalaciones/Acondicionamiento </v>
      </c>
      <c r="B11" s="1222">
        <f>IF(Consolidación?="NO",'(0) 1a. Activos de Partida'!H11+'(0) 1a. Activos de Partida'!I11+'(0) 1a. Activos de Partida'!E11,'(0) 1a. Activos de Partida'!E11+'(0) 1a. Activos de Partida'!H11+'(0) 1a. Activos de Partida'!I11)</f>
        <v>0</v>
      </c>
      <c r="C11" s="2528">
        <f>'7. Plan Invers-Financ (1º,2º)'!I15</f>
        <v>5</v>
      </c>
      <c r="D11" s="1223">
        <f t="shared" si="0"/>
        <v>0.2</v>
      </c>
      <c r="E11" s="1224">
        <f>IF('(0) 1a. Activos de Partida'!F11&gt;0,'(0) 1a. Activos de Partida'!B11-'(0) 1a. Activos de Partida'!F11,B11)</f>
        <v>0</v>
      </c>
      <c r="F11" s="1225">
        <f t="shared" ref="F11:F17" si="2">IF(G11&gt;0,1/G11,0)</f>
        <v>0</v>
      </c>
      <c r="G11" s="1228">
        <f t="shared" si="1"/>
        <v>0</v>
      </c>
      <c r="H11" s="2375">
        <f>E11+IF(('7. Plan Invers-Financ (1º,2º)'!AB15)="r",0,'7. Plan Invers-Financ (1º,2º)'!AA15)</f>
        <v>0</v>
      </c>
      <c r="I11" s="2377">
        <f>IF((IF(G11=1,E11,E11*F11)+'7. Plan Invers-Financ (1º,2º)'!AA15*D11)&lt;H11,IF(G11=1,E11,E11*F11)+'7. Plan Invers-Financ (1º,2º)'!AA15*D11,H11)</f>
        <v>0</v>
      </c>
      <c r="J11" s="2376">
        <f>H11-I11+IF('7. Plan Invers-Financ (1º,2º)'!AM15="R",0,'7. Plan Invers-Financ (1º,2º)'!AL15)</f>
        <v>0</v>
      </c>
      <c r="K11" s="2377">
        <f>IF((IF($G11&gt;1,$E11*$F11,0)+IF(1/D11&gt;1,'7. Plan Invers-Financ (1º,2º)'!AA15*D11,0)+'7. Plan Invers-Financ (1º,2º)'!$AL15*$D11)&lt;J11,IF($G11&gt;1,$E11*$F11,0)+IF(1/D11&gt;1,'7. Plan Invers-Financ (1º,2º)'!AA15*D11,0)+'7. Plan Invers-Financ (1º,2º)'!$AL15*$D11,J11)</f>
        <v>0</v>
      </c>
      <c r="L11" s="1226">
        <f>J11-K11+IF('7. Plan Invers-Financ (1º,2º)'!AW15="R",0,'7. Plan Invers-Financ (1º,2º)'!AV15)</f>
        <v>0</v>
      </c>
      <c r="M11" s="2377">
        <f>IF((IF($G11&gt;2,$E11*$F11,0)+IF(1/$D11&gt;2,'7. Plan Invers-Financ (1º,2º)'!$AA15*$D11,0)+IF(1/$D11&gt;1,'7. Plan Invers-Financ (1º,2º)'!$AL15*$D11,0)+'7. Plan Invers-Financ (1º,2º)'!$AV15*$D11)&lt;L11,IF($G11&gt;2,$E11*$F11,0)+IF(1/$D11&gt;2,'7. Plan Invers-Financ (1º,2º)'!$AA15*$D11,0)+IF(1/$D11&gt;1,'7. Plan Invers-Financ (1º,2º)'!$AL15*$D11,0)+'7. Plan Invers-Financ (1º,2º)'!$AV15*$D11,L11)</f>
        <v>0</v>
      </c>
      <c r="N11" s="1226">
        <f>L11-M11+IF('7. Plan Invers-Financ (1º,2º)'!AZ15="R",0,'7. Plan Invers-Financ (1º,2º)'!AY15)</f>
        <v>0</v>
      </c>
      <c r="O11" s="2377">
        <f>IF((IF($G11&gt;3,$E11*$F11,0)+IF(1/$D11&gt;3,'7. Plan Invers-Financ (1º,2º)'!$AA15*$D11,0)+IF(1/$D11&gt;2,'7. Plan Invers-Financ (1º,2º)'!$AL15*$D11,0)+IF(1/$D11&gt;1,'7. Plan Invers-Financ (1º,2º)'!$AV15*$D11,0)+'7. Plan Invers-Financ (1º,2º)'!$AY15*$D11)&lt;N11,IF($G11&gt;3,$E11*$F11,0)+IF(1/$D11&gt;3,'7. Plan Invers-Financ (1º,2º)'!$AA15*$D11,0)+IF(1/$D11&gt;2,'7. Plan Invers-Financ (1º,2º)'!$AL15*$D11,0)+IF(1/$D11&gt;1,'7. Plan Invers-Financ (1º,2º)'!$AV15*$D11,0)+'7. Plan Invers-Financ (1º,2º)'!$AY15*$D11,N11)</f>
        <v>0</v>
      </c>
      <c r="P11" s="2376">
        <f>N11-O11+IF('7. Plan Invers-Financ (1º,2º)'!BC15="R",0,'7. Plan Invers-Financ (1º,2º)'!BB15)</f>
        <v>0</v>
      </c>
      <c r="Q11" s="2377">
        <f>IF((IF($G11&gt;4,$E11*$F11,0)+IF(1/$D11&gt;4,'7. Plan Invers-Financ (1º,2º)'!$AA15*$D11,0)+IF(1/$D11&gt;3,'7. Plan Invers-Financ (1º,2º)'!$AL15*$D11,0)+IF(1/$D11&gt;2,'7. Plan Invers-Financ (1º,2º)'!$AV15*$D11,0)+IF(1/$D11&gt;1,'7. Plan Invers-Financ (1º,2º)'!$AY15*$D11,0)+'7. Plan Invers-Financ (1º,2º)'!$BB15*$D11)&lt;P11,IF($G11&gt;4,$E11*$F11,0)+IF(1/$D11&gt;4,'7. Plan Invers-Financ (1º,2º)'!$AA15*$D11,0)+IF(1/$D11&gt;3,'7. Plan Invers-Financ (1º,2º)'!$AL15*$D11,0)+IF(1/$D11&gt;2,'7. Plan Invers-Financ (1º,2º)'!$AV15*$D11,0)+IF(1/$D11&gt;1,'7. Plan Invers-Financ (1º,2º)'!$AY15*$D11,0)+'7. Plan Invers-Financ (1º,2º)'!$BB15*$D11,P11)</f>
        <v>0</v>
      </c>
      <c r="S11" s="459"/>
    </row>
    <row r="12" spans="1:19" ht="20.25" customHeight="1">
      <c r="A12" s="1221" t="str">
        <f>'(0) 1a. Activos de Partida'!A12</f>
        <v xml:space="preserve">Maquinaria  </v>
      </c>
      <c r="B12" s="1222">
        <f>IF(Consolidación?="NO",'(0) 1a. Activos de Partida'!H12+'(0) 1a. Activos de Partida'!I12+'(0) 1a. Activos de Partida'!E12,'(0) 1a. Activos de Partida'!E12+'(0) 1a. Activos de Partida'!H12+'(0) 1a. Activos de Partida'!I12)</f>
        <v>0</v>
      </c>
      <c r="C12" s="2528">
        <f>'7. Plan Invers-Financ (1º,2º)'!I16</f>
        <v>10</v>
      </c>
      <c r="D12" s="1223">
        <f t="shared" si="0"/>
        <v>0.1</v>
      </c>
      <c r="E12" s="1224">
        <f>IF('(0) 1a. Activos de Partida'!F12&gt;0,'(0) 1a. Activos de Partida'!B12-'(0) 1a. Activos de Partida'!F12,B12)</f>
        <v>0</v>
      </c>
      <c r="F12" s="1225">
        <f t="shared" si="2"/>
        <v>0</v>
      </c>
      <c r="G12" s="1228">
        <f t="shared" si="1"/>
        <v>0</v>
      </c>
      <c r="H12" s="2375">
        <f>E12+IF(('7. Plan Invers-Financ (1º,2º)'!AB16)="r",0,'7. Plan Invers-Financ (1º,2º)'!AA16)</f>
        <v>0</v>
      </c>
      <c r="I12" s="2377">
        <f>IF((IF(G12=1,E12,E12*F12)+'7. Plan Invers-Financ (1º,2º)'!AA16*D12)&lt;H12,IF(G12=1,E12,E12*F12)+'7. Plan Invers-Financ (1º,2º)'!AA16*D12,H12)</f>
        <v>0</v>
      </c>
      <c r="J12" s="2376">
        <f>H12-I12+IF('7. Plan Invers-Financ (1º,2º)'!AM16="R",0,'7. Plan Invers-Financ (1º,2º)'!AL16)</f>
        <v>0</v>
      </c>
      <c r="K12" s="2377">
        <f>IF((IF($G12&gt;1,$E12*$F12,0)+IF(1/D12&gt;1,'7. Plan Invers-Financ (1º,2º)'!AA16*D12,0)+'7. Plan Invers-Financ (1º,2º)'!$AL16*$D12)&lt;J12,IF($G12&gt;1,$E12*$F12,0)+IF(1/D12&gt;1,'7. Plan Invers-Financ (1º,2º)'!AA16*D12,0)+'7. Plan Invers-Financ (1º,2º)'!$AL16*$D12,J12)</f>
        <v>0</v>
      </c>
      <c r="L12" s="1226">
        <f>J12-K12+IF('7. Plan Invers-Financ (1º,2º)'!AW16="R",0,'7. Plan Invers-Financ (1º,2º)'!AV16)</f>
        <v>0</v>
      </c>
      <c r="M12" s="2377">
        <f>IF((IF($G12&gt;2,$E12*$F12,0)+IF(1/$D12&gt;2,'7. Plan Invers-Financ (1º,2º)'!$AA16*$D12,0)+IF(1/$D12&gt;1,'7. Plan Invers-Financ (1º,2º)'!$AL16*$D12,0)+'7. Plan Invers-Financ (1º,2º)'!$AV16*$D12)&lt;L12,IF($G12&gt;2,$E12*$F12,0)+IF(1/$D12&gt;2,'7. Plan Invers-Financ (1º,2º)'!$AA16*$D12,0)+IF(1/$D12&gt;1,'7. Plan Invers-Financ (1º,2º)'!$AL16*$D12,0)+'7. Plan Invers-Financ (1º,2º)'!$AV16*$D12,L12)</f>
        <v>0</v>
      </c>
      <c r="N12" s="1226">
        <f>L12-M12+IF('7. Plan Invers-Financ (1º,2º)'!AZ16="R",0,'7. Plan Invers-Financ (1º,2º)'!AY16)</f>
        <v>0</v>
      </c>
      <c r="O12" s="2377">
        <f>IF((IF($G12&gt;3,$E12*$F12,0)+IF(1/$D12&gt;3,'7. Plan Invers-Financ (1º,2º)'!$AA16*$D12,0)+IF(1/$D12&gt;2,'7. Plan Invers-Financ (1º,2º)'!$AL16*$D12,0)+IF(1/$D12&gt;1,'7. Plan Invers-Financ (1º,2º)'!$AV16*$D12,0)+'7. Plan Invers-Financ (1º,2º)'!$AY16*$D12)&lt;N12,IF($G12&gt;3,$E12*$F12,0)+IF(1/$D12&gt;3,'7. Plan Invers-Financ (1º,2º)'!$AA16*$D12,0)+IF(1/$D12&gt;2,'7. Plan Invers-Financ (1º,2º)'!$AL16*$D12,0)+IF(1/$D12&gt;1,'7. Plan Invers-Financ (1º,2º)'!$AV16*$D12,0)+'7. Plan Invers-Financ (1º,2º)'!$AY16*$D12,N12)</f>
        <v>0</v>
      </c>
      <c r="P12" s="2376">
        <f>N12-O12+IF('7. Plan Invers-Financ (1º,2º)'!BC16="R",0,'7. Plan Invers-Financ (1º,2º)'!BB16)</f>
        <v>0</v>
      </c>
      <c r="Q12" s="2377">
        <f>IF((IF($G12&gt;4,$E12*$F12,0)+IF(1/$D12&gt;4,'7. Plan Invers-Financ (1º,2º)'!$AA16*$D12,0)+IF(1/$D12&gt;3,'7. Plan Invers-Financ (1º,2º)'!$AL16*$D12,0)+IF(1/$D12&gt;2,'7. Plan Invers-Financ (1º,2º)'!$AV16*$D12,0)+IF(1/$D12&gt;1,'7. Plan Invers-Financ (1º,2º)'!$AY16*$D12,0)+'7. Plan Invers-Financ (1º,2º)'!$BB16*$D12)&lt;P12,IF($G12&gt;4,$E12*$F12,0)+IF(1/$D12&gt;4,'7. Plan Invers-Financ (1º,2º)'!$AA16*$D12,0)+IF(1/$D12&gt;3,'7. Plan Invers-Financ (1º,2º)'!$AL16*$D12,0)+IF(1/$D12&gt;2,'7. Plan Invers-Financ (1º,2º)'!$AV16*$D12,0)+IF(1/$D12&gt;1,'7. Plan Invers-Financ (1º,2º)'!$AY16*$D12,0)+'7. Plan Invers-Financ (1º,2º)'!$BB16*$D12,P12)</f>
        <v>0</v>
      </c>
      <c r="S12" s="459"/>
    </row>
    <row r="13" spans="1:19" ht="20.25" customHeight="1">
      <c r="A13" s="1221" t="str">
        <f>'(0) 1a. Activos de Partida'!A13</f>
        <v xml:space="preserve">Utillaje, Herramientas, Menaje,… </v>
      </c>
      <c r="B13" s="1222">
        <f>IF(Consolidación?="NO",'(0) 1a. Activos de Partida'!H13+'(0) 1a. Activos de Partida'!I13+'(0) 1a. Activos de Partida'!E13,'(0) 1a. Activos de Partida'!E13+'(0) 1a. Activos de Partida'!H13+'(0) 1a. Activos de Partida'!I13)</f>
        <v>0</v>
      </c>
      <c r="C13" s="2528">
        <f>'7. Plan Invers-Financ (1º,2º)'!I17</f>
        <v>5</v>
      </c>
      <c r="D13" s="1223">
        <f t="shared" si="0"/>
        <v>0.2</v>
      </c>
      <c r="E13" s="1224">
        <f>IF('(0) 1a. Activos de Partida'!F13&gt;0,'(0) 1a. Activos de Partida'!B13-'(0) 1a. Activos de Partida'!F13,B13)</f>
        <v>0</v>
      </c>
      <c r="F13" s="1225">
        <f t="shared" si="2"/>
        <v>0</v>
      </c>
      <c r="G13" s="1228">
        <f t="shared" si="1"/>
        <v>0</v>
      </c>
      <c r="H13" s="2375">
        <f>E13+IF(('7. Plan Invers-Financ (1º,2º)'!AB17)="r",0,'7. Plan Invers-Financ (1º,2º)'!AA17)</f>
        <v>0</v>
      </c>
      <c r="I13" s="2377">
        <f>IF((IF(G13=1,E13,E13*F13)+'7. Plan Invers-Financ (1º,2º)'!AA17*D13)&lt;H13,IF(G13=1,E13,E13*F13)+'7. Plan Invers-Financ (1º,2º)'!AA17*D13,H13)</f>
        <v>0</v>
      </c>
      <c r="J13" s="2376">
        <f>H13-I13+IF('7. Plan Invers-Financ (1º,2º)'!AM17="R",0,'7. Plan Invers-Financ (1º,2º)'!AL17)</f>
        <v>0</v>
      </c>
      <c r="K13" s="2377">
        <f>IF((IF($G13&gt;1,$E13*$F13,0)+IF(1/D13&gt;1,'7. Plan Invers-Financ (1º,2º)'!AA17*D13,0)+'7. Plan Invers-Financ (1º,2º)'!$AL17*$D13)&lt;J13,IF($G13&gt;1,$E13*$F13,0)+IF(1/D13&gt;1,'7. Plan Invers-Financ (1º,2º)'!AA17*D13,0)+'7. Plan Invers-Financ (1º,2º)'!$AL17*$D13,J13)</f>
        <v>0</v>
      </c>
      <c r="L13" s="1226">
        <f>J13-K13+IF('7. Plan Invers-Financ (1º,2º)'!AW17="R",0,'7. Plan Invers-Financ (1º,2º)'!AV17)</f>
        <v>0</v>
      </c>
      <c r="M13" s="2377">
        <f>IF((IF($G13&gt;2,$E13*$F13,0)+IF(1/$D13&gt;2,'7. Plan Invers-Financ (1º,2º)'!$AA17*$D13,0)+IF(1/$D13&gt;1,'7. Plan Invers-Financ (1º,2º)'!$AL17*$D13,0)+'7. Plan Invers-Financ (1º,2º)'!$AV17*$D13)&lt;L13,IF($G13&gt;2,$E13*$F13,0)+IF(1/$D13&gt;2,'7. Plan Invers-Financ (1º,2º)'!$AA17*$D13,0)+IF(1/$D13&gt;1,'7. Plan Invers-Financ (1º,2º)'!$AL17*$D13,0)+'7. Plan Invers-Financ (1º,2º)'!$AV17*$D13,L13)</f>
        <v>0</v>
      </c>
      <c r="N13" s="1226">
        <f>L13-M13+IF('7. Plan Invers-Financ (1º,2º)'!AZ17="R",0,'7. Plan Invers-Financ (1º,2º)'!AY17)</f>
        <v>0</v>
      </c>
      <c r="O13" s="2377">
        <f>IF((IF($G13&gt;3,$E13*$F13,0)+IF(1/$D13&gt;3,'7. Plan Invers-Financ (1º,2º)'!$AA17*$D13,0)+IF(1/$D13&gt;2,'7. Plan Invers-Financ (1º,2º)'!$AL17*$D13,0)+IF(1/$D13&gt;1,'7. Plan Invers-Financ (1º,2º)'!$AV17*$D13,0)+'7. Plan Invers-Financ (1º,2º)'!$AY17*$D13)&lt;N13,IF($G13&gt;3,$E13*$F13,0)+IF(1/$D13&gt;3,'7. Plan Invers-Financ (1º,2º)'!$AA17*$D13,0)+IF(1/$D13&gt;2,'7. Plan Invers-Financ (1º,2º)'!$AL17*$D13,0)+IF(1/$D13&gt;1,'7. Plan Invers-Financ (1º,2º)'!$AV17*$D13,0)+'7. Plan Invers-Financ (1º,2º)'!$AY17*$D13,N13)</f>
        <v>0</v>
      </c>
      <c r="P13" s="2376">
        <f>N13-O13+IF('7. Plan Invers-Financ (1º,2º)'!BC17="R",0,'7. Plan Invers-Financ (1º,2º)'!BB17)</f>
        <v>0</v>
      </c>
      <c r="Q13" s="2377">
        <f>IF((IF($G13&gt;4,$E13*$F13,0)+IF(1/$D13&gt;4,'7. Plan Invers-Financ (1º,2º)'!$AA17*$D13,0)+IF(1/$D13&gt;3,'7. Plan Invers-Financ (1º,2º)'!$AL17*$D13,0)+IF(1/$D13&gt;2,'7. Plan Invers-Financ (1º,2º)'!$AV17*$D13,0)+IF(1/$D13&gt;1,'7. Plan Invers-Financ (1º,2º)'!$AY17*$D13,0)+'7. Plan Invers-Financ (1º,2º)'!$BB17*$D13)&lt;P13,IF($G13&gt;4,$E13*$F13,0)+IF(1/$D13&gt;4,'7. Plan Invers-Financ (1º,2º)'!$AA17*$D13,0)+IF(1/$D13&gt;3,'7. Plan Invers-Financ (1º,2º)'!$AL17*$D13,0)+IF(1/$D13&gt;2,'7. Plan Invers-Financ (1º,2º)'!$AV17*$D13,0)+IF(1/$D13&gt;1,'7. Plan Invers-Financ (1º,2º)'!$AY17*$D13,0)+'7. Plan Invers-Financ (1º,2º)'!$BB17*$D13,P13)</f>
        <v>0</v>
      </c>
      <c r="S13" s="459"/>
    </row>
    <row r="14" spans="1:19" ht="20.25" customHeight="1">
      <c r="A14" s="1221" t="str">
        <f>'(0) 1a. Activos de Partida'!A14</f>
        <v xml:space="preserve">Mobiliario y Enseres  </v>
      </c>
      <c r="B14" s="1222">
        <f>IF(Consolidación?="NO",'(0) 1a. Activos de Partida'!H14+'(0) 1a. Activos de Partida'!I14+'(0) 1a. Activos de Partida'!E14,'(0) 1a. Activos de Partida'!E14+'(0) 1a. Activos de Partida'!H14+'(0) 1a. Activos de Partida'!I14)</f>
        <v>0</v>
      </c>
      <c r="C14" s="2528">
        <f>'7. Plan Invers-Financ (1º,2º)'!I18</f>
        <v>10</v>
      </c>
      <c r="D14" s="1223">
        <f t="shared" si="0"/>
        <v>0.1</v>
      </c>
      <c r="E14" s="1224">
        <f>IF('(0) 1a. Activos de Partida'!F14&gt;0,'(0) 1a. Activos de Partida'!B14-'(0) 1a. Activos de Partida'!F14,B14)</f>
        <v>0</v>
      </c>
      <c r="F14" s="1225">
        <f t="shared" si="2"/>
        <v>0</v>
      </c>
      <c r="G14" s="1228">
        <f t="shared" si="1"/>
        <v>0</v>
      </c>
      <c r="H14" s="2375">
        <f>E14+IF(('7. Plan Invers-Financ (1º,2º)'!AB18)="r",0,'7. Plan Invers-Financ (1º,2º)'!AA18)</f>
        <v>0</v>
      </c>
      <c r="I14" s="2377">
        <f>IF((IF(G14=1,E14,E14*F14)+'7. Plan Invers-Financ (1º,2º)'!AA18*D14)&lt;H14,IF(G14=1,E14,E14*F14)+'7. Plan Invers-Financ (1º,2º)'!AA18*D14,H14)</f>
        <v>0</v>
      </c>
      <c r="J14" s="2376">
        <f>H14-I14+IF('7. Plan Invers-Financ (1º,2º)'!AM18="R",0,'7. Plan Invers-Financ (1º,2º)'!AL18)</f>
        <v>0</v>
      </c>
      <c r="K14" s="2377">
        <f>IF((IF($G14&gt;1,$E14*$F14,0)+IF(1/D14&gt;1,'7. Plan Invers-Financ (1º,2º)'!AA18*D14,0)+'7. Plan Invers-Financ (1º,2º)'!$AL18*$D14)&lt;J14,IF($G14&gt;1,$E14*$F14,0)+IF(1/D14&gt;1,'7. Plan Invers-Financ (1º,2º)'!AA18*D14,0)+'7. Plan Invers-Financ (1º,2º)'!$AL18*$D14,J14)</f>
        <v>0</v>
      </c>
      <c r="L14" s="1226">
        <f>J14-K14+IF('7. Plan Invers-Financ (1º,2º)'!AW18="R",0,'7. Plan Invers-Financ (1º,2º)'!AV18)</f>
        <v>0</v>
      </c>
      <c r="M14" s="2377">
        <f>IF((IF($G14&gt;2,$E14*$F14,0)+IF(1/$D14&gt;2,'7. Plan Invers-Financ (1º,2º)'!$AA18*$D14,0)+IF(1/$D14&gt;1,'7. Plan Invers-Financ (1º,2º)'!$AL18*$D14,0)+'7. Plan Invers-Financ (1º,2º)'!$AV18*$D14)&lt;L14,IF($G14&gt;2,$E14*$F14,0)+IF(1/$D14&gt;2,'7. Plan Invers-Financ (1º,2º)'!$AA18*$D14,0)+IF(1/$D14&gt;1,'7. Plan Invers-Financ (1º,2º)'!$AL18*$D14,0)+'7. Plan Invers-Financ (1º,2º)'!$AV18*$D14,L14)</f>
        <v>0</v>
      </c>
      <c r="N14" s="1226">
        <f>L14-M14+IF('7. Plan Invers-Financ (1º,2º)'!AZ18="R",0,'7. Plan Invers-Financ (1º,2º)'!AY18)</f>
        <v>0</v>
      </c>
      <c r="O14" s="2377">
        <f>IF((IF($G14&gt;3,$E14*$F14,0)+IF(1/$D14&gt;3,'7. Plan Invers-Financ (1º,2º)'!$AA18*$D14,0)+IF(1/$D14&gt;2,'7. Plan Invers-Financ (1º,2º)'!$AL18*$D14,0)+IF(1/$D14&gt;1,'7. Plan Invers-Financ (1º,2º)'!$AV18*$D14,0)+'7. Plan Invers-Financ (1º,2º)'!$AY18*$D14)&lt;N14,IF($G14&gt;3,$E14*$F14,0)+IF(1/$D14&gt;3,'7. Plan Invers-Financ (1º,2º)'!$AA18*$D14,0)+IF(1/$D14&gt;2,'7. Plan Invers-Financ (1º,2º)'!$AL18*$D14,0)+IF(1/$D14&gt;1,'7. Plan Invers-Financ (1º,2º)'!$AV18*$D14,0)+'7. Plan Invers-Financ (1º,2º)'!$AY18*$D14,N14)</f>
        <v>0</v>
      </c>
      <c r="P14" s="2376">
        <f>N14-O14+IF('7. Plan Invers-Financ (1º,2º)'!BC18="R",0,'7. Plan Invers-Financ (1º,2º)'!BB18)</f>
        <v>0</v>
      </c>
      <c r="Q14" s="2377">
        <f>IF((IF($G14&gt;4,$E14*$F14,0)+IF(1/$D14&gt;4,'7. Plan Invers-Financ (1º,2º)'!$AA18*$D14,0)+IF(1/$D14&gt;3,'7. Plan Invers-Financ (1º,2º)'!$AL18*$D14,0)+IF(1/$D14&gt;2,'7. Plan Invers-Financ (1º,2º)'!$AV18*$D14,0)+IF(1/$D14&gt;1,'7. Plan Invers-Financ (1º,2º)'!$AY18*$D14,0)+'7. Plan Invers-Financ (1º,2º)'!$BB18*$D14)&lt;P14,IF($G14&gt;4,$E14*$F14,0)+IF(1/$D14&gt;4,'7. Plan Invers-Financ (1º,2º)'!$AA18*$D14,0)+IF(1/$D14&gt;3,'7. Plan Invers-Financ (1º,2º)'!$AL18*$D14,0)+IF(1/$D14&gt;2,'7. Plan Invers-Financ (1º,2º)'!$AV18*$D14,0)+IF(1/$D14&gt;1,'7. Plan Invers-Financ (1º,2º)'!$AY18*$D14,0)+'7. Plan Invers-Financ (1º,2º)'!$BB18*$D14,P14)</f>
        <v>0</v>
      </c>
      <c r="S14" s="459"/>
    </row>
    <row r="15" spans="1:19" ht="20.25" customHeight="1">
      <c r="A15" s="1221" t="str">
        <f>'(0) 1a. Activos de Partida'!A15</f>
        <v>Elementos de Transporte</v>
      </c>
      <c r="B15" s="1222">
        <f>IF(Consolidación?="NO",'(0) 1a. Activos de Partida'!H15+'(0) 1a. Activos de Partida'!I15+'(0) 1a. Activos de Partida'!E15,'(0) 1a. Activos de Partida'!E15+'(0) 1a. Activos de Partida'!H15+'(0) 1a. Activos de Partida'!I15)</f>
        <v>0</v>
      </c>
      <c r="C15" s="2528">
        <f>'7. Plan Invers-Financ (1º,2º)'!I19</f>
        <v>5</v>
      </c>
      <c r="D15" s="1223">
        <f t="shared" si="0"/>
        <v>0.2</v>
      </c>
      <c r="E15" s="1224">
        <f>IF('(0) 1a. Activos de Partida'!F15&gt;0,'(0) 1a. Activos de Partida'!B15-'(0) 1a. Activos de Partida'!F15,B15)</f>
        <v>0</v>
      </c>
      <c r="F15" s="1225">
        <f t="shared" si="2"/>
        <v>0</v>
      </c>
      <c r="G15" s="1228">
        <f t="shared" si="1"/>
        <v>0</v>
      </c>
      <c r="H15" s="2375">
        <f>E15+IF(('7. Plan Invers-Financ (1º,2º)'!AB19)="r",0,'7. Plan Invers-Financ (1º,2º)'!AA19)</f>
        <v>0</v>
      </c>
      <c r="I15" s="2377">
        <f>IF((IF(G15=1,E15,E15*F15)+'7. Plan Invers-Financ (1º,2º)'!AA19*D15)&lt;H15,IF(G15=1,E15,E15*F15)+'7. Plan Invers-Financ (1º,2º)'!AA19*D15,H15)</f>
        <v>0</v>
      </c>
      <c r="J15" s="2376">
        <f>H15-I15+IF('7. Plan Invers-Financ (1º,2º)'!AM19="R",0,'7. Plan Invers-Financ (1º,2º)'!AL19)</f>
        <v>0</v>
      </c>
      <c r="K15" s="2377">
        <f>IF((IF($G15&gt;1,$E15*$F15,0)+IF(1/D15&gt;1,'7. Plan Invers-Financ (1º,2º)'!AA19*D15,0)+'7. Plan Invers-Financ (1º,2º)'!$AL19*$D15)&lt;J15,IF($G15&gt;1,$E15*$F15,0)+IF(1/D15&gt;1,'7. Plan Invers-Financ (1º,2º)'!AA19*D15,0)+'7. Plan Invers-Financ (1º,2º)'!$AL19*$D15,J15)</f>
        <v>0</v>
      </c>
      <c r="L15" s="1226">
        <f>J15-K15+IF('7. Plan Invers-Financ (1º,2º)'!AW19="R",0,'7. Plan Invers-Financ (1º,2º)'!AV19)</f>
        <v>0</v>
      </c>
      <c r="M15" s="2377">
        <f>IF((IF($G15&gt;2,$E15*$F15,0)+IF(1/$D15&gt;2,'7. Plan Invers-Financ (1º,2º)'!$AA19*$D15,0)+IF(1/$D15&gt;1,'7. Plan Invers-Financ (1º,2º)'!$AL19*$D15,0)+'7. Plan Invers-Financ (1º,2º)'!$AV19*$D15)&lt;L15,IF($G15&gt;2,$E15*$F15,0)+IF(1/$D15&gt;2,'7. Plan Invers-Financ (1º,2º)'!$AA19*$D15,0)+IF(1/$D15&gt;1,'7. Plan Invers-Financ (1º,2º)'!$AL19*$D15,0)+'7. Plan Invers-Financ (1º,2º)'!$AV19*$D15,L15)</f>
        <v>0</v>
      </c>
      <c r="N15" s="1226">
        <f>L15-M15+IF('7. Plan Invers-Financ (1º,2º)'!AZ19="R",0,'7. Plan Invers-Financ (1º,2º)'!AY19)</f>
        <v>0</v>
      </c>
      <c r="O15" s="2377">
        <f>IF((IF($G15&gt;3,$E15*$F15,0)+IF(1/$D15&gt;3,'7. Plan Invers-Financ (1º,2º)'!$AA19*$D15,0)+IF(1/$D15&gt;2,'7. Plan Invers-Financ (1º,2º)'!$AL19*$D15,0)+IF(1/$D15&gt;1,'7. Plan Invers-Financ (1º,2º)'!$AV19*$D15,0)+'7. Plan Invers-Financ (1º,2º)'!$AY19*$D15)&lt;N15,IF($G15&gt;3,$E15*$F15,0)+IF(1/$D15&gt;3,'7. Plan Invers-Financ (1º,2º)'!$AA19*$D15,0)+IF(1/$D15&gt;2,'7. Plan Invers-Financ (1º,2º)'!$AL19*$D15,0)+IF(1/$D15&gt;1,'7. Plan Invers-Financ (1º,2º)'!$AV19*$D15,0)+'7. Plan Invers-Financ (1º,2º)'!$AY19*$D15,N15)</f>
        <v>0</v>
      </c>
      <c r="P15" s="2376">
        <f>N15-O15+IF('7. Plan Invers-Financ (1º,2º)'!BC19="R",0,'7. Plan Invers-Financ (1º,2º)'!BB19)</f>
        <v>0</v>
      </c>
      <c r="Q15" s="2377">
        <f>IF((IF($G15&gt;4,$E15*$F15,0)+IF(1/$D15&gt;4,'7. Plan Invers-Financ (1º,2º)'!$AA19*$D15,0)+IF(1/$D15&gt;3,'7. Plan Invers-Financ (1º,2º)'!$AL19*$D15,0)+IF(1/$D15&gt;2,'7. Plan Invers-Financ (1º,2º)'!$AV19*$D15,0)+IF(1/$D15&gt;1,'7. Plan Invers-Financ (1º,2º)'!$AY19*$D15,0)+'7. Plan Invers-Financ (1º,2º)'!$BB19*$D15)&lt;P15,IF($G15&gt;4,$E15*$F15,0)+IF(1/$D15&gt;4,'7. Plan Invers-Financ (1º,2º)'!$AA19*$D15,0)+IF(1/$D15&gt;3,'7. Plan Invers-Financ (1º,2º)'!$AL19*$D15,0)+IF(1/$D15&gt;2,'7. Plan Invers-Financ (1º,2º)'!$AV19*$D15,0)+IF(1/$D15&gt;1,'7. Plan Invers-Financ (1º,2º)'!$AY19*$D15,0)+'7. Plan Invers-Financ (1º,2º)'!$BB19*$D15,P15)</f>
        <v>0</v>
      </c>
      <c r="S15" s="459"/>
    </row>
    <row r="16" spans="1:19" ht="20.25" customHeight="1">
      <c r="A16" s="1227" t="str">
        <f>'(0) 1a. Activos de Partida'!A16</f>
        <v xml:space="preserve">Equipos Informáticos y de las Comunicaciones </v>
      </c>
      <c r="B16" s="1222">
        <f>IF(Consolidación?="NO",'(0) 1a. Activos de Partida'!H16+'(0) 1a. Activos de Partida'!I16+'(0) 1a. Activos de Partida'!E16,'(0) 1a. Activos de Partida'!E16+'(0) 1a. Activos de Partida'!H16+'(0) 1a. Activos de Partida'!I16)</f>
        <v>0</v>
      </c>
      <c r="C16" s="2528">
        <f>'7. Plan Invers-Financ (1º,2º)'!I20</f>
        <v>4</v>
      </c>
      <c r="D16" s="1223">
        <f t="shared" si="0"/>
        <v>0.25</v>
      </c>
      <c r="E16" s="1224">
        <f>IF('(0) 1a. Activos de Partida'!F16&gt;0,'(0) 1a. Activos de Partida'!B16-'(0) 1a. Activos de Partida'!F16,B16)</f>
        <v>0</v>
      </c>
      <c r="F16" s="1225">
        <f t="shared" si="2"/>
        <v>0</v>
      </c>
      <c r="G16" s="1228">
        <f t="shared" si="1"/>
        <v>0</v>
      </c>
      <c r="H16" s="2375">
        <f>E16+IF(('7. Plan Invers-Financ (1º,2º)'!AB20)="r",0,'7. Plan Invers-Financ (1º,2º)'!AA20)</f>
        <v>0</v>
      </c>
      <c r="I16" s="2377">
        <f>IF((IF(G16=1,E16,E16*F16)+'7. Plan Invers-Financ (1º,2º)'!AA20*D16)&lt;H16,IF(G16=1,E16,E16*F16)+'7. Plan Invers-Financ (1º,2º)'!AA20*D16,H16)</f>
        <v>0</v>
      </c>
      <c r="J16" s="2376">
        <f>H16-I16+IF('7. Plan Invers-Financ (1º,2º)'!AM20="R",0,'7. Plan Invers-Financ (1º,2º)'!AL20)</f>
        <v>0</v>
      </c>
      <c r="K16" s="2377">
        <f>IF((IF($G16&gt;1,$E16*$F16,0)+IF(1/D16&gt;1,'7. Plan Invers-Financ (1º,2º)'!AA20*D16,0)+'7. Plan Invers-Financ (1º,2º)'!$AL20*$D16)&lt;J16,IF($G16&gt;1,$E16*$F16,0)+IF(1/D16&gt;1,'7. Plan Invers-Financ (1º,2º)'!AA20*D16,0)+'7. Plan Invers-Financ (1º,2º)'!$AL20*$D16,J16)</f>
        <v>0</v>
      </c>
      <c r="L16" s="1226">
        <f>J16-K16+IF('7. Plan Invers-Financ (1º,2º)'!AW20="R",0,'7. Plan Invers-Financ (1º,2º)'!AV20)</f>
        <v>0</v>
      </c>
      <c r="M16" s="2377">
        <f>IF((IF($G16&gt;2,$E16*$F16,0)+IF(1/$D16&gt;2,'7. Plan Invers-Financ (1º,2º)'!$AA20*$D16,0)+IF(1/$D16&gt;1,'7. Plan Invers-Financ (1º,2º)'!$AL20*$D16,0)+'7. Plan Invers-Financ (1º,2º)'!$AV20*$D16)&lt;L16,IF($G16&gt;2,$E16*$F16,0)+IF(1/$D16&gt;2,'7. Plan Invers-Financ (1º,2º)'!$AA20*$D16,0)+IF(1/$D16&gt;1,'7. Plan Invers-Financ (1º,2º)'!$AL20*$D16,0)+'7. Plan Invers-Financ (1º,2º)'!$AV20*$D16,L16)</f>
        <v>0</v>
      </c>
      <c r="N16" s="1226">
        <f>L16-M16+IF('7. Plan Invers-Financ (1º,2º)'!AZ20="R",0,'7. Plan Invers-Financ (1º,2º)'!AY20)</f>
        <v>0</v>
      </c>
      <c r="O16" s="2377">
        <f>IF((IF($G16&gt;3,$E16*$F16,0)+IF(1/$D16&gt;3,'7. Plan Invers-Financ (1º,2º)'!$AA20*$D16,0)+IF(1/$D16&gt;2,'7. Plan Invers-Financ (1º,2º)'!$AL20*$D16,0)+IF(1/$D16&gt;1,'7. Plan Invers-Financ (1º,2º)'!$AV20*$D16,0)+'7. Plan Invers-Financ (1º,2º)'!$AY20*$D16)&lt;N16,IF($G16&gt;3,$E16*$F16,0)+IF(1/$D16&gt;3,'7. Plan Invers-Financ (1º,2º)'!$AA20*$D16,0)+IF(1/$D16&gt;2,'7. Plan Invers-Financ (1º,2º)'!$AL20*$D16,0)+IF(1/$D16&gt;1,'7. Plan Invers-Financ (1º,2º)'!$AV20*$D16,0)+'7. Plan Invers-Financ (1º,2º)'!$AY20*$D16,N16)</f>
        <v>0</v>
      </c>
      <c r="P16" s="2376">
        <f>N16-O16+IF('7. Plan Invers-Financ (1º,2º)'!BC20="R",0,'7. Plan Invers-Financ (1º,2º)'!BB20)</f>
        <v>0</v>
      </c>
      <c r="Q16" s="2377">
        <f>IF((IF($G16&gt;4,$E16*$F16,0)+IF(1/$D16&gt;4,'7. Plan Invers-Financ (1º,2º)'!$AA20*$D16,0)+IF(1/$D16&gt;3,'7. Plan Invers-Financ (1º,2º)'!$AL20*$D16,0)+IF(1/$D16&gt;2,'7. Plan Invers-Financ (1º,2º)'!$AV20*$D16,0)+IF(1/$D16&gt;1,'7. Plan Invers-Financ (1º,2º)'!$AY20*$D16,0)+'7. Plan Invers-Financ (1º,2º)'!$BB20*$D16)&lt;P16,IF($G16&gt;4,$E16*$F16,0)+IF(1/$D16&gt;4,'7. Plan Invers-Financ (1º,2º)'!$AA20*$D16,0)+IF(1/$D16&gt;3,'7. Plan Invers-Financ (1º,2º)'!$AL20*$D16,0)+IF(1/$D16&gt;2,'7. Plan Invers-Financ (1º,2º)'!$AV20*$D16,0)+IF(1/$D16&gt;1,'7. Plan Invers-Financ (1º,2º)'!$AY20*$D16,0)+'7. Plan Invers-Financ (1º,2º)'!$BB20*$D16,P16)</f>
        <v>0</v>
      </c>
      <c r="S16" s="459"/>
    </row>
    <row r="17" spans="1:19" ht="20.25" customHeight="1" thickBot="1">
      <c r="A17" s="460" t="str">
        <f>'(0) 1a. Activos de Partida'!A17</f>
        <v xml:space="preserve">Otro Inmovilizado Material  </v>
      </c>
      <c r="B17" s="1222">
        <f>IF(Consolidación?="NO",'(0) 1a. Activos de Partida'!H17+'(0) 1a. Activos de Partida'!I17+'(0) 1a. Activos de Partida'!E17,'(0) 1a. Activos de Partida'!E17+'(0) 1a. Activos de Partida'!H17+'(0) 1a. Activos de Partida'!I17)</f>
        <v>0</v>
      </c>
      <c r="C17" s="2529">
        <f>'7. Plan Invers-Financ (1º,2º)'!I21</f>
        <v>4</v>
      </c>
      <c r="D17" s="458">
        <f t="shared" si="0"/>
        <v>0.25</v>
      </c>
      <c r="E17" s="455">
        <f>IF('(0) 1a. Activos de Partida'!F17&gt;0,'(0) 1a. Activos de Partida'!B17-'(0) 1a. Activos de Partida'!F17,B17)</f>
        <v>0</v>
      </c>
      <c r="F17" s="1225">
        <f t="shared" si="2"/>
        <v>0</v>
      </c>
      <c r="G17" s="461">
        <f t="shared" si="1"/>
        <v>0</v>
      </c>
      <c r="H17" s="2375">
        <f>E17+IF(('7. Plan Invers-Financ (1º,2º)'!AB21)="r",0,'7. Plan Invers-Financ (1º,2º)'!AA21)</f>
        <v>0</v>
      </c>
      <c r="I17" s="1418">
        <f>IF((IF(G17=1,E17,E17*F17)+'7. Plan Invers-Financ (1º,2º)'!AA21*D17)&lt;H17,IF(G17=1,E17,E17*F17)+'7. Plan Invers-Financ (1º,2º)'!AA21*D17,H17)</f>
        <v>0</v>
      </c>
      <c r="J17" s="1419">
        <f>H17-I17+IF('7. Plan Invers-Financ (1º,2º)'!AM21="R",0,'7. Plan Invers-Financ (1º,2º)'!AL21)</f>
        <v>0</v>
      </c>
      <c r="K17" s="1418">
        <f>IF((IF($G17&gt;1,$E17*$F17,0)+IF(1/D17&gt;1,'7. Plan Invers-Financ (1º,2º)'!AA21*D17,0)+'7. Plan Invers-Financ (1º,2º)'!$AL21*$D17)&lt;J17,IF($G17&gt;1,$E17*$F17,0)+IF(1/D17&gt;1,'7. Plan Invers-Financ (1º,2º)'!AA21*D17,0)+'7. Plan Invers-Financ (1º,2º)'!$AL21*$D17,J17)</f>
        <v>0</v>
      </c>
      <c r="L17" s="1157">
        <f>J17-K17+IF('7. Plan Invers-Financ (1º,2º)'!AW21="R",0,'7. Plan Invers-Financ (1º,2º)'!AV21)</f>
        <v>0</v>
      </c>
      <c r="M17" s="1418">
        <f>IF((IF($G17&gt;2,$E17*$F17,0)+IF(1/$D17&gt;2,'7. Plan Invers-Financ (1º,2º)'!$AA21*$D17,0)+IF(1/$D17&gt;1,'7. Plan Invers-Financ (1º,2º)'!$AL21*$D17,0)+'7. Plan Invers-Financ (1º,2º)'!$AV21*$D17)&lt;L17,IF($G17&gt;2,$E17*$F17,0)+IF(1/$D17&gt;2,'7. Plan Invers-Financ (1º,2º)'!$AA21*$D17,0)+IF(1/$D17&gt;1,'7. Plan Invers-Financ (1º,2º)'!$AL21*$D17,0)+'7. Plan Invers-Financ (1º,2º)'!$AV21*$D17,L17)</f>
        <v>0</v>
      </c>
      <c r="N17" s="1157">
        <f>L17-M17+IF('7. Plan Invers-Financ (1º,2º)'!AZ21="R",0,'7. Plan Invers-Financ (1º,2º)'!AY21)</f>
        <v>0</v>
      </c>
      <c r="O17" s="1418">
        <f>IF((IF($G17&gt;3,$E17*$F17,0)+IF(1/$D17&gt;3,'7. Plan Invers-Financ (1º,2º)'!$AA21*$D17,0)+IF(1/$D17&gt;2,'7. Plan Invers-Financ (1º,2º)'!$AL21*$D17,0)+IF(1/$D17&gt;1,'7. Plan Invers-Financ (1º,2º)'!$AV21*$D17,0)+'7. Plan Invers-Financ (1º,2º)'!$AY21*$D17)&lt;N17,IF($G17&gt;3,$E17*$F17,0)+IF(1/$D17&gt;3,'7. Plan Invers-Financ (1º,2º)'!$AA21*$D17,0)+IF(1/$D17&gt;2,'7. Plan Invers-Financ (1º,2º)'!$AL21*$D17,0)+IF(1/$D17&gt;1,'7. Plan Invers-Financ (1º,2º)'!$AV21*$D17,0)+'7. Plan Invers-Financ (1º,2º)'!$AY21*$D17,N17)</f>
        <v>0</v>
      </c>
      <c r="P17" s="1419">
        <f>N17-O17+IF('7. Plan Invers-Financ (1º,2º)'!BC21="R",0,'7. Plan Invers-Financ (1º,2º)'!BB21)</f>
        <v>0</v>
      </c>
      <c r="Q17" s="1418">
        <f>IF((IF($G17&gt;4,$E17*$F17,0)+IF(1/$D17&gt;4,'7. Plan Invers-Financ (1º,2º)'!$AA21*$D17,0)+IF(1/$D17&gt;3,'7. Plan Invers-Financ (1º,2º)'!$AL21*$D17,0)+IF(1/$D17&gt;2,'7. Plan Invers-Financ (1º,2º)'!$AV21*$D17,0)+IF(1/$D17&gt;1,'7. Plan Invers-Financ (1º,2º)'!$AY21*$D17,0)+'7. Plan Invers-Financ (1º,2º)'!$BB21*$D17)&lt;P17,IF($G17&gt;4,$E17*$F17,0)+IF(1/$D17&gt;4,'7. Plan Invers-Financ (1º,2º)'!$AA21*$D17,0)+IF(1/$D17&gt;3,'7. Plan Invers-Financ (1º,2º)'!$AL21*$D17,0)+IF(1/$D17&gt;2,'7. Plan Invers-Financ (1º,2º)'!$AV21*$D17,0)+IF(1/$D17&gt;1,'7. Plan Invers-Financ (1º,2º)'!$AY21*$D17,0)+'7. Plan Invers-Financ (1º,2º)'!$BB21*$D17,P17)</f>
        <v>0</v>
      </c>
      <c r="S17" s="459"/>
    </row>
    <row r="18" spans="1:19" s="368" customFormat="1" ht="18" customHeight="1" thickBot="1">
      <c r="A18" s="510" t="s">
        <v>1</v>
      </c>
      <c r="B18" s="511">
        <f>SUM(B9:B17)</f>
        <v>0</v>
      </c>
      <c r="C18" s="462"/>
      <c r="D18" s="463"/>
      <c r="E18" s="464">
        <f>SUM(E9:E17)</f>
        <v>0</v>
      </c>
      <c r="F18" s="465"/>
      <c r="G18" s="466"/>
      <c r="H18" s="513">
        <f t="shared" ref="H18:Q18" si="3">SUM(H9:H17)</f>
        <v>0</v>
      </c>
      <c r="I18" s="512">
        <f t="shared" si="3"/>
        <v>0</v>
      </c>
      <c r="J18" s="513">
        <f t="shared" si="3"/>
        <v>0</v>
      </c>
      <c r="K18" s="514">
        <f>SUM(K9:K17)</f>
        <v>0</v>
      </c>
      <c r="L18" s="513">
        <f t="shared" si="3"/>
        <v>0</v>
      </c>
      <c r="M18" s="514">
        <f t="shared" si="3"/>
        <v>0</v>
      </c>
      <c r="N18" s="513">
        <f t="shared" si="3"/>
        <v>0</v>
      </c>
      <c r="O18" s="514">
        <f t="shared" si="3"/>
        <v>0</v>
      </c>
      <c r="P18" s="513">
        <f t="shared" si="3"/>
        <v>0</v>
      </c>
      <c r="Q18" s="514">
        <f t="shared" si="3"/>
        <v>0</v>
      </c>
      <c r="S18" s="468"/>
    </row>
    <row r="19" spans="1:19" s="368" customFormat="1" ht="10.5" customHeight="1" thickTop="1" thickBot="1">
      <c r="A19" s="469"/>
      <c r="B19" s="470"/>
      <c r="C19" s="471"/>
      <c r="D19" s="472"/>
      <c r="E19" s="473"/>
      <c r="F19" s="472"/>
      <c r="G19" s="474"/>
      <c r="H19" s="470"/>
      <c r="I19" s="470"/>
      <c r="J19" s="475"/>
      <c r="K19" s="476"/>
      <c r="L19" s="475"/>
      <c r="M19" s="475"/>
      <c r="N19" s="475"/>
      <c r="O19" s="475"/>
      <c r="P19" s="475"/>
      <c r="Q19" s="475"/>
      <c r="S19" s="468"/>
    </row>
    <row r="20" spans="1:19" ht="20.25" customHeight="1">
      <c r="A20" s="460" t="str">
        <f>'(0) 1a. Activos de Partida'!A20</f>
        <v xml:space="preserve">Gastos de I+D (Propiedad de la Innovación) </v>
      </c>
      <c r="B20" s="477">
        <f>IF(Consolidación?="NO",'(0) 1a. Activos de Partida'!H20+'(0) 1a. Activos de Partida'!I20+'(0) 1a. Activos de Partida'!E20,'(0) 1a. Activos de Partida'!E20+'(0) 1a. Activos de Partida'!H20+'(0) 1a. Activos de Partida'!I20)</f>
        <v>0</v>
      </c>
      <c r="C20" s="2530">
        <f>'7. Plan Invers-Financ (1º,2º)'!I24</f>
        <v>4</v>
      </c>
      <c r="D20" s="478">
        <f t="shared" ref="D20:D23" si="4">1/C20</f>
        <v>0.25</v>
      </c>
      <c r="E20" s="479">
        <f>IF('(0) 1a. Activos de Partida'!F20&gt;0,'(0) 1a. Activos de Partida'!B20-'(0) 1a. Activos de Partida'!F20,B20)</f>
        <v>0</v>
      </c>
      <c r="F20" s="480">
        <f t="shared" ref="F20:F23" si="5">IF(Consolidación?="NO",D20,IF(G20&gt;0,1/G20,0))</f>
        <v>0.25</v>
      </c>
      <c r="G20" s="481">
        <f t="shared" ref="G20:G23" si="6">IF(B20&gt;0,IF((E20/B20*D20*100)&lt;=0,0,ROUNDUP((E20/(B20*D20)),0)),0)</f>
        <v>0</v>
      </c>
      <c r="H20" s="2375">
        <f>E20+IF(('7. Plan Invers-Financ (1º,2º)'!AB23)="r",0,'7. Plan Invers-Financ (1º,2º)'!AA23)</f>
        <v>0</v>
      </c>
      <c r="I20" s="1418">
        <f>IF((IF(G20=1,E20,E20*F20)+'7. Plan Invers-Financ (1º,2º)'!AA23*D20)&lt;H20,IF(G20=1,E20,E20*F20)+'7. Plan Invers-Financ (1º,2º)'!AA23*D20,H20)</f>
        <v>0</v>
      </c>
      <c r="J20" s="1419">
        <f>H20-I20+'7. Plan Invers-Financ (1º,2º)'!AL23</f>
        <v>0</v>
      </c>
      <c r="K20" s="2378">
        <f>IF((IF($G20&gt;1,$E20*$F20,0)+IF(1/D20&gt;1,'7. Plan Invers-Financ (1º,2º)'!AA23*D20,0)+'7. Plan Invers-Financ (1º,2º)'!$AL23*$D20)&lt;J20,IF($G20&gt;1,$E20*$F20,0)+IF(1/D20&gt;1,'7. Plan Invers-Financ (1º,2º)'!AA23*D20,0)+'7. Plan Invers-Financ (1º,2º)'!$AL23*$D20,J20)</f>
        <v>0</v>
      </c>
      <c r="L20" s="1157">
        <f>J20-K20+'7. Plan Invers-Financ (1º,2º)'!AV23</f>
        <v>0</v>
      </c>
      <c r="M20" s="1418">
        <f>IF((IF($G20&gt;2,$E20*$F20,0)+IF(1/$D20&gt;2,'7. Plan Invers-Financ (1º,2º)'!$AA23*$D20,0)+IF(1/$D20&gt;1,'7. Plan Invers-Financ (1º,2º)'!$AL23*$D20,0)+'7. Plan Invers-Financ (1º,2º)'!$AV23*$D20)&lt;L20,IF($G20&gt;2,$E20*$F20,0)+IF(1/$D20&gt;2,'7. Plan Invers-Financ (1º,2º)'!$AA23*$D20,0)+IF(1/$D20&gt;1,'7. Plan Invers-Financ (1º,2º)'!$AL23*$D20,0)+'7. Plan Invers-Financ (1º,2º)'!$AV23*$D20,L20)</f>
        <v>0</v>
      </c>
      <c r="N20" s="1419">
        <f>L20-M20+'7. Plan Invers-Financ (1º,2º)'!AY23</f>
        <v>0</v>
      </c>
      <c r="O20" s="1418">
        <f>IF((IF($G20&gt;3,$E20*$F20,0)+IF(1/$D20&gt;3,'7. Plan Invers-Financ (1º,2º)'!$AA23*$D20,0)+IF(1/$D20&gt;2,'7. Plan Invers-Financ (1º,2º)'!$AL23*$D20,0)+IF(1/$D20&gt;1,'7. Plan Invers-Financ (1º,2º)'!$AV23*$D20,0)+'7. Plan Invers-Financ (1º,2º)'!$AY23*$D20)&lt;N20,IF($G20&gt;3,$E20*$F20,0)+IF(1/$D20&gt;3,'7. Plan Invers-Financ (1º,2º)'!$AA23*$D20,0)+IF(1/$D20&gt;2,'7. Plan Invers-Financ (1º,2º)'!$AL23*$D20,0)+IF(1/$D20&gt;1,'7. Plan Invers-Financ (1º,2º)'!$AV23*$D20,0)+'7. Plan Invers-Financ (1º,2º)'!$AY23*$D20,N20)</f>
        <v>0</v>
      </c>
      <c r="P20" s="1419">
        <f>N20-O20+'7. Plan Invers-Financ (1º,2º)'!BB23</f>
        <v>0</v>
      </c>
      <c r="Q20" s="1418">
        <f>IF((IF($G20&gt;4,$E20*$F20,0)+IF(1/$D20&gt;4,'7. Plan Invers-Financ (1º,2º)'!$AA23*$D20,0)+IF(1/$D20&gt;3,'7. Plan Invers-Financ (1º,2º)'!$AL23*$D20,0)+IF(1/$D20&gt;2,'7. Plan Invers-Financ (1º,2º)'!$AV23*$D20,0)+IF(1/$D20&gt;1,'7. Plan Invers-Financ (1º,2º)'!$AY23*$D20,0)+'7. Plan Invers-Financ (1º,2º)'!$BB23*$D20)&lt;P20,IF($G20&gt;4,$E20*$F20,0)+IF(1/$D20&gt;4,'7. Plan Invers-Financ (1º,2º)'!$AA23*$D20,0)+IF(1/$D20&gt;3,'7. Plan Invers-Financ (1º,2º)'!$AL23*$D20,0)+IF(1/$D20&gt;2,'7. Plan Invers-Financ (1º,2º)'!$AV23*$D20,0)+IF(1/$D20&gt;1,'7. Plan Invers-Financ (1º,2º)'!$AY23*$D20,0)+'7. Plan Invers-Financ (1º,2º)'!$BB23*$D20,P20)</f>
        <v>0</v>
      </c>
      <c r="S20" s="459"/>
    </row>
    <row r="21" spans="1:19" ht="20.25" customHeight="1">
      <c r="A21" s="1227" t="str">
        <f>'(0) 1a. Activos de Partida'!A21</f>
        <v>Programas Informáticos y Páginas Web</v>
      </c>
      <c r="B21" s="477">
        <f>IF(Consolidación?="NO",'(0) 1a. Activos de Partida'!H21+'(0) 1a. Activos de Partida'!I21+'(0) 1a. Activos de Partida'!E21,'(0) 1a. Activos de Partida'!E21+'(0) 1a. Activos de Partida'!H21+'(0) 1a. Activos de Partida'!I21)</f>
        <v>0</v>
      </c>
      <c r="C21" s="2528">
        <f>'7. Plan Invers-Financ (1º,2º)'!I25</f>
        <v>4</v>
      </c>
      <c r="D21" s="1223">
        <f t="shared" si="4"/>
        <v>0.25</v>
      </c>
      <c r="E21" s="1224">
        <f>IF('(0) 1a. Activos de Partida'!F21&gt;0,'(0) 1a. Activos de Partida'!B21-'(0) 1a. Activos de Partida'!F21,B21)</f>
        <v>0</v>
      </c>
      <c r="F21" s="1229">
        <f t="shared" si="5"/>
        <v>0.25</v>
      </c>
      <c r="G21" s="1228">
        <f t="shared" si="6"/>
        <v>0</v>
      </c>
      <c r="H21" s="2375">
        <f>E21+IF(('7. Plan Invers-Financ (1º,2º)'!AB24)="r",0,'7. Plan Invers-Financ (1º,2º)'!AA24)</f>
        <v>0</v>
      </c>
      <c r="I21" s="2377">
        <f>IF((IF(G21=1,E21,E21*F21)+'7. Plan Invers-Financ (1º,2º)'!AA24*D21)&lt;H21,IF(G21=1,E21,E21*F21)+'7. Plan Invers-Financ (1º,2º)'!AA24*D21,H21)</f>
        <v>0</v>
      </c>
      <c r="J21" s="2376">
        <f>H21-I21+'7. Plan Invers-Financ (1º,2º)'!AL24</f>
        <v>0</v>
      </c>
      <c r="K21" s="2377">
        <f>IF((IF($G21&gt;1,$E21*$F21,0)+IF(1/D21&gt;1,'7. Plan Invers-Financ (1º,2º)'!AA24*D21,0)+'7. Plan Invers-Financ (1º,2º)'!$AL24*$D21)&lt;J21,IF($G21&gt;1,$E21*$F21,0)+IF(1/D21&gt;1,'7. Plan Invers-Financ (1º,2º)'!AA24*D21,0)+'7. Plan Invers-Financ (1º,2º)'!$AL24*$D21,J21)</f>
        <v>0</v>
      </c>
      <c r="L21" s="1226">
        <f>J21-K21+'7. Plan Invers-Financ (1º,2º)'!AV24</f>
        <v>0</v>
      </c>
      <c r="M21" s="2377">
        <f>IF((IF($G21&gt;2,$E21*$F21,0)+IF(1/$D21&gt;2,'7. Plan Invers-Financ (1º,2º)'!$AA24*$D21,0)+IF(1/$D21&gt;1,'7. Plan Invers-Financ (1º,2º)'!$AL24*$D21,0)+'7. Plan Invers-Financ (1º,2º)'!$AV24*$D21)&lt;L21,IF($G21&gt;2,$E21*$F21,0)+IF(1/$D21&gt;2,'7. Plan Invers-Financ (1º,2º)'!$AA24*$D21,0)+IF(1/$D21&gt;1,'7. Plan Invers-Financ (1º,2º)'!$AL24*$D21,0)+'7. Plan Invers-Financ (1º,2º)'!$AV24*$D21,L21)</f>
        <v>0</v>
      </c>
      <c r="N21" s="2376">
        <f>L21-M21+'7. Plan Invers-Financ (1º,2º)'!AY24</f>
        <v>0</v>
      </c>
      <c r="O21" s="2377">
        <f>IF((IF($G21&gt;3,$E21*$F21,0)+IF(1/$D21&gt;3,'7. Plan Invers-Financ (1º,2º)'!$AA24*$D21,0)+IF(1/$D21&gt;2,'7. Plan Invers-Financ (1º,2º)'!$AL24*$D21,0)+IF(1/$D21&gt;1,'7. Plan Invers-Financ (1º,2º)'!$AV24*$D21,0)+'7. Plan Invers-Financ (1º,2º)'!$AY24*$D21)&lt;N21,IF($G21&gt;3,$E21*$F21,0)+IF(1/$D21&gt;3,'7. Plan Invers-Financ (1º,2º)'!$AA24*$D21,0)+IF(1/$D21&gt;2,'7. Plan Invers-Financ (1º,2º)'!$AL24*$D21,0)+IF(1/$D21&gt;1,'7. Plan Invers-Financ (1º,2º)'!$AV24*$D21,0)+'7. Plan Invers-Financ (1º,2º)'!$AY24*$D21,N21)</f>
        <v>0</v>
      </c>
      <c r="P21" s="2376">
        <f>N21-O21+'7. Plan Invers-Financ (1º,2º)'!BB24</f>
        <v>0</v>
      </c>
      <c r="Q21" s="2377">
        <f>IF((IF($G21&gt;4,$E21*$F21,0)+IF(1/$D21&gt;4,'7. Plan Invers-Financ (1º,2º)'!$AA24*$D21,0)+IF(1/$D21&gt;3,'7. Plan Invers-Financ (1º,2º)'!$AL24*$D21,0)+IF(1/$D21&gt;2,'7. Plan Invers-Financ (1º,2º)'!$AV24*$D21,0)+IF(1/$D21&gt;1,'7. Plan Invers-Financ (1º,2º)'!$AY24*$D21,0)+'7. Plan Invers-Financ (1º,2º)'!$BB24*$D21)&lt;P21,IF($G21&gt;4,$E21*$F21,0)+IF(1/$D21&gt;4,'7. Plan Invers-Financ (1º,2º)'!$AA24*$D21,0)+IF(1/$D21&gt;3,'7. Plan Invers-Financ (1º,2º)'!$AL24*$D21,0)+IF(1/$D21&gt;2,'7. Plan Invers-Financ (1º,2º)'!$AV24*$D21,0)+IF(1/$D21&gt;1,'7. Plan Invers-Financ (1º,2º)'!$AY24*$D21,0)+'7. Plan Invers-Financ (1º,2º)'!$BB24*$D21,P21)</f>
        <v>0</v>
      </c>
      <c r="S21" s="459"/>
    </row>
    <row r="22" spans="1:19" ht="20.25" customHeight="1">
      <c r="A22" s="1227" t="str">
        <f>'(0) 1a. Activos de Partida'!A22</f>
        <v>Propiedad Industrial e Intelectual</v>
      </c>
      <c r="B22" s="477">
        <f>IF(Consolidación?="NO",'(0) 1a. Activos de Partida'!H22+'(0) 1a. Activos de Partida'!I22+'(0) 1a. Activos de Partida'!E22,'(0) 1a. Activos de Partida'!E22+'(0) 1a. Activos de Partida'!H22+'(0) 1a. Activos de Partida'!I22)</f>
        <v>0</v>
      </c>
      <c r="C22" s="2528">
        <f>'7. Plan Invers-Financ (1º,2º)'!I26</f>
        <v>4</v>
      </c>
      <c r="D22" s="1223">
        <f t="shared" si="4"/>
        <v>0.25</v>
      </c>
      <c r="E22" s="1224">
        <f>IF('(0) 1a. Activos de Partida'!F22&gt;0,'(0) 1a. Activos de Partida'!B22-'(0) 1a. Activos de Partida'!F22,B22)</f>
        <v>0</v>
      </c>
      <c r="F22" s="1229">
        <f t="shared" si="5"/>
        <v>0.25</v>
      </c>
      <c r="G22" s="1228">
        <f t="shared" si="6"/>
        <v>0</v>
      </c>
      <c r="H22" s="2375">
        <f>E22+IF(('7. Plan Invers-Financ (1º,2º)'!AB25)="r",0,'7. Plan Invers-Financ (1º,2º)'!AA25)</f>
        <v>0</v>
      </c>
      <c r="I22" s="2377">
        <f>IF((IF(G22=1,E22,E22*F22)+'7. Plan Invers-Financ (1º,2º)'!AA25*D22)&lt;H22,IF(G22=1,E22,E22*F22)+'7. Plan Invers-Financ (1º,2º)'!AA25*D22,H22)</f>
        <v>0</v>
      </c>
      <c r="J22" s="2376">
        <f>H22-I22+'7. Plan Invers-Financ (1º,2º)'!AL25</f>
        <v>0</v>
      </c>
      <c r="K22" s="2377">
        <f>IF((IF($G22&gt;1,$E22*$F22,0)+IF(1/D22&gt;1,'7. Plan Invers-Financ (1º,2º)'!AA25*D22,0)+'7. Plan Invers-Financ (1º,2º)'!$AL25*$D22)&lt;J22,IF($G22&gt;1,$E22*$F22,0)+IF(1/D22&gt;1,'7. Plan Invers-Financ (1º,2º)'!AA25*D22,0)+'7. Plan Invers-Financ (1º,2º)'!$AL25*$D22,J22)</f>
        <v>0</v>
      </c>
      <c r="L22" s="1226">
        <f>J22-K22+'7. Plan Invers-Financ (1º,2º)'!AV25</f>
        <v>0</v>
      </c>
      <c r="M22" s="2377">
        <f>IF((IF($G22&gt;2,$E22*$F22,0)+IF(1/$D22&gt;2,'7. Plan Invers-Financ (1º,2º)'!$AA25*$D22,0)+IF(1/$D22&gt;1,'7. Plan Invers-Financ (1º,2º)'!$AL25*$D22,0)+'7. Plan Invers-Financ (1º,2º)'!$AV25*$D22)&lt;L22,IF($G22&gt;2,$E22*$F22,0)+IF(1/$D22&gt;2,'7. Plan Invers-Financ (1º,2º)'!$AA25*$D22,0)+IF(1/$D22&gt;1,'7. Plan Invers-Financ (1º,2º)'!$AL25*$D22,0)+'7. Plan Invers-Financ (1º,2º)'!$AV25*$D22,L22)</f>
        <v>0</v>
      </c>
      <c r="N22" s="2376">
        <f>L22-M22+'7. Plan Invers-Financ (1º,2º)'!AY25</f>
        <v>0</v>
      </c>
      <c r="O22" s="2377">
        <f>IF((IF($G22&gt;3,$E22*$F22,0)+IF(1/$D22&gt;3,'7. Plan Invers-Financ (1º,2º)'!$AA25*$D22,0)+IF(1/$D22&gt;2,'7. Plan Invers-Financ (1º,2º)'!$AL25*$D22,0)+IF(1/$D22&gt;1,'7. Plan Invers-Financ (1º,2º)'!$AV25*$D22,0)+'7. Plan Invers-Financ (1º,2º)'!$AY25*$D22)&lt;N22,IF($G22&gt;3,$E22*$F22,0)+IF(1/$D22&gt;3,'7. Plan Invers-Financ (1º,2º)'!$AA25*$D22,0)+IF(1/$D22&gt;2,'7. Plan Invers-Financ (1º,2º)'!$AL25*$D22,0)+IF(1/$D22&gt;1,'7. Plan Invers-Financ (1º,2º)'!$AV25*$D22,0)+'7. Plan Invers-Financ (1º,2º)'!$AY25*$D22,N22)</f>
        <v>0</v>
      </c>
      <c r="P22" s="2376">
        <f>N22-O22+'7. Plan Invers-Financ (1º,2º)'!BB25</f>
        <v>0</v>
      </c>
      <c r="Q22" s="2377">
        <f>IF((IF($G22&gt;4,$E22*$F22,0)+IF(1/$D22&gt;4,'7. Plan Invers-Financ (1º,2º)'!$AA25*$D22,0)+IF(1/$D22&gt;3,'7. Plan Invers-Financ (1º,2º)'!$AL25*$D22,0)+IF(1/$D22&gt;2,'7. Plan Invers-Financ (1º,2º)'!$AV25*$D22,0)+IF(1/$D22&gt;1,'7. Plan Invers-Financ (1º,2º)'!$AY25*$D22,0)+'7. Plan Invers-Financ (1º,2º)'!$BB25*$D22)&lt;P22,IF($G22&gt;4,$E22*$F22,0)+IF(1/$D22&gt;4,'7. Plan Invers-Financ (1º,2º)'!$AA25*$D22,0)+IF(1/$D22&gt;3,'7. Plan Invers-Financ (1º,2º)'!$AL25*$D22,0)+IF(1/$D22&gt;2,'7. Plan Invers-Financ (1º,2º)'!$AV25*$D22,0)+IF(1/$D22&gt;1,'7. Plan Invers-Financ (1º,2º)'!$AY25*$D22,0)+'7. Plan Invers-Financ (1º,2º)'!$BB25*$D22,P22)</f>
        <v>0</v>
      </c>
      <c r="S22" s="459"/>
    </row>
    <row r="23" spans="1:19" ht="20.25" customHeight="1" thickBot="1">
      <c r="A23" s="460" t="str">
        <f>'(0) 1a. Activos de Partida'!A23</f>
        <v xml:space="preserve">Otro Inmovilizado Intangible </v>
      </c>
      <c r="B23" s="477">
        <f>IF(Consolidación?="NO",'(0) 1a. Activos de Partida'!H23+'(0) 1a. Activos de Partida'!I23+'(0) 1a. Activos de Partida'!E23,'(0) 1a. Activos de Partida'!E23+'(0) 1a. Activos de Partida'!H23+'(0) 1a. Activos de Partida'!I23)</f>
        <v>0</v>
      </c>
      <c r="C23" s="2531">
        <f>'7. Plan Invers-Financ (1º,2º)'!I27</f>
        <v>5</v>
      </c>
      <c r="D23" s="482">
        <f t="shared" si="4"/>
        <v>0.2</v>
      </c>
      <c r="E23" s="455">
        <f>IF('(0) 1a. Activos de Partida'!F23&gt;0,'(0) 1a. Activos de Partida'!B23-'(0) 1a. Activos de Partida'!F23,B23)</f>
        <v>0</v>
      </c>
      <c r="F23" s="483">
        <f t="shared" si="5"/>
        <v>0.2</v>
      </c>
      <c r="G23" s="484">
        <f t="shared" si="6"/>
        <v>0</v>
      </c>
      <c r="H23" s="2375">
        <f>E23+IF(('7. Plan Invers-Financ (1º,2º)'!AB26)="r",0,'7. Plan Invers-Financ (1º,2º)'!AA26)</f>
        <v>0</v>
      </c>
      <c r="I23" s="1418">
        <f>IF((IF(G23=1,E23,E23*F23)+'7. Plan Invers-Financ (1º,2º)'!AA26*D23)&lt;H23,IF(G23=1,E23,E23*F23)+'7. Plan Invers-Financ (1º,2º)'!AA26*D23,H23)</f>
        <v>0</v>
      </c>
      <c r="J23" s="1419">
        <f>H23-I23+'7. Plan Invers-Financ (1º,2º)'!AL26</f>
        <v>0</v>
      </c>
      <c r="K23" s="1418">
        <f>IF((IF($G23&gt;1,$E23*$F23,0)+IF(1/D23&gt;1,'7. Plan Invers-Financ (1º,2º)'!AA26*D23,0)+'7. Plan Invers-Financ (1º,2º)'!$AL26*$D23)&lt;J23,IF($G23&gt;1,$E23*$F23,0)+IF(1/D23&gt;1,'7. Plan Invers-Financ (1º,2º)'!AA26*D23,0)+'7. Plan Invers-Financ (1º,2º)'!$AL26*$D23,J23)</f>
        <v>0</v>
      </c>
      <c r="L23" s="1157">
        <f>J23-K23+'7. Plan Invers-Financ (1º,2º)'!AV26</f>
        <v>0</v>
      </c>
      <c r="M23" s="1418">
        <f>IF((IF($G23&gt;2,$E23*$F23,0)+IF(1/$D23&gt;2,'7. Plan Invers-Financ (1º,2º)'!$AA26*$D23,0)+IF(1/$D23&gt;1,'7. Plan Invers-Financ (1º,2º)'!$AL26*$D23,0)+'7. Plan Invers-Financ (1º,2º)'!$AV26*$D23)&lt;L23,IF($G23&gt;2,$E23*$F23,0)+IF(1/$D23&gt;2,'7. Plan Invers-Financ (1º,2º)'!$AA26*$D23,0)+IF(1/$D23&gt;1,'7. Plan Invers-Financ (1º,2º)'!$AL26*$D23,0)+'7. Plan Invers-Financ (1º,2º)'!$AV26*$D23,L23)</f>
        <v>0</v>
      </c>
      <c r="N23" s="1419">
        <f>L23-M23+'7. Plan Invers-Financ (1º,2º)'!AY26</f>
        <v>0</v>
      </c>
      <c r="O23" s="1418">
        <f>IF((IF($G23&gt;3,$E23*$F23,0)+IF(1/$D23&gt;3,'7. Plan Invers-Financ (1º,2º)'!$AA26*$D23,0)+IF(1/$D23&gt;2,'7. Plan Invers-Financ (1º,2º)'!$AL26*$D23,0)+IF(1/$D23&gt;1,'7. Plan Invers-Financ (1º,2º)'!$AV26*$D23,0)+'7. Plan Invers-Financ (1º,2º)'!$AY26*$D23)&lt;N23,IF($G23&gt;3,$E23*$F23,0)+IF(1/$D23&gt;3,'7. Plan Invers-Financ (1º,2º)'!$AA26*$D23,0)+IF(1/$D23&gt;2,'7. Plan Invers-Financ (1º,2º)'!$AL26*$D23,0)+IF(1/$D23&gt;1,'7. Plan Invers-Financ (1º,2º)'!$AV26*$D23,0)+'7. Plan Invers-Financ (1º,2º)'!$AY26*$D23,N23)</f>
        <v>0</v>
      </c>
      <c r="P23" s="1419">
        <f>N23-O23+'7. Plan Invers-Financ (1º,2º)'!BB26</f>
        <v>0</v>
      </c>
      <c r="Q23" s="1418">
        <f>IF((IF($G23&gt;4,$E23*$F23,0)+IF(1/$D23&gt;4,'7. Plan Invers-Financ (1º,2º)'!$AA26*$D23,0)+IF(1/$D23&gt;3,'7. Plan Invers-Financ (1º,2º)'!$AL26*$D23,0)+IF(1/$D23&gt;2,'7. Plan Invers-Financ (1º,2º)'!$AV26*$D23,0)+IF(1/$D23&gt;1,'7. Plan Invers-Financ (1º,2º)'!$AY26*$D23,0)+'7. Plan Invers-Financ (1º,2º)'!$BB26*$D23)&lt;P23,IF($G23&gt;4,$E23*$F23,0)+IF(1/$D23&gt;4,'7. Plan Invers-Financ (1º,2º)'!$AA26*$D23,0)+IF(1/$D23&gt;3,'7. Plan Invers-Financ (1º,2º)'!$AL26*$D23,0)+IF(1/$D23&gt;2,'7. Plan Invers-Financ (1º,2º)'!$AV26*$D23,0)+IF(1/$D23&gt;1,'7. Plan Invers-Financ (1º,2º)'!$AY26*$D23,0)+'7. Plan Invers-Financ (1º,2º)'!$BB26*$D23,P23)</f>
        <v>0</v>
      </c>
      <c r="S23" s="459"/>
    </row>
    <row r="24" spans="1:19" s="368" customFormat="1" ht="18" customHeight="1" thickBot="1">
      <c r="A24" s="515" t="s">
        <v>100</v>
      </c>
      <c r="B24" s="511">
        <f>SUM(B20:B23)</f>
        <v>0</v>
      </c>
      <c r="C24" s="485"/>
      <c r="D24" s="463"/>
      <c r="E24" s="464">
        <f>SUM(E20:E23)</f>
        <v>0</v>
      </c>
      <c r="F24" s="465"/>
      <c r="G24" s="486"/>
      <c r="H24" s="518">
        <f t="shared" ref="H24:Q24" si="7">SUM(H20:H23)</f>
        <v>0</v>
      </c>
      <c r="I24" s="512">
        <f t="shared" si="7"/>
        <v>0</v>
      </c>
      <c r="J24" s="518">
        <f t="shared" si="7"/>
        <v>0</v>
      </c>
      <c r="K24" s="512">
        <f t="shared" si="7"/>
        <v>0</v>
      </c>
      <c r="L24" s="518">
        <f t="shared" si="7"/>
        <v>0</v>
      </c>
      <c r="M24" s="512">
        <f t="shared" si="7"/>
        <v>0</v>
      </c>
      <c r="N24" s="518">
        <f t="shared" si="7"/>
        <v>0</v>
      </c>
      <c r="O24" s="512">
        <f t="shared" si="7"/>
        <v>0</v>
      </c>
      <c r="P24" s="518">
        <f t="shared" si="7"/>
        <v>0</v>
      </c>
      <c r="Q24" s="512">
        <f t="shared" si="7"/>
        <v>0</v>
      </c>
      <c r="S24" s="468"/>
    </row>
    <row r="25" spans="1:19" s="368" customFormat="1" ht="12" customHeight="1" thickTop="1">
      <c r="A25" s="487"/>
      <c r="B25" s="488"/>
      <c r="C25" s="488"/>
      <c r="D25" s="468"/>
      <c r="E25" s="488"/>
      <c r="F25" s="468"/>
      <c r="G25" s="489"/>
      <c r="H25" s="490"/>
      <c r="I25" s="490"/>
      <c r="J25" s="490"/>
      <c r="K25" s="490"/>
      <c r="L25" s="490"/>
      <c r="M25" s="490"/>
      <c r="N25" s="490"/>
      <c r="O25" s="490"/>
      <c r="P25" s="490"/>
      <c r="Q25" s="490"/>
      <c r="S25" s="468"/>
    </row>
    <row r="26" spans="1:19" s="368" customFormat="1" ht="8.25" customHeight="1" thickBot="1">
      <c r="A26" s="491"/>
      <c r="B26" s="492"/>
      <c r="C26" s="488"/>
      <c r="D26" s="493"/>
      <c r="E26" s="494"/>
      <c r="F26" s="493"/>
      <c r="G26" s="495"/>
      <c r="H26" s="496"/>
      <c r="I26" s="497"/>
      <c r="J26" s="495"/>
      <c r="K26" s="495"/>
      <c r="L26" s="495"/>
      <c r="M26" s="495"/>
      <c r="N26" s="495"/>
      <c r="O26" s="495"/>
      <c r="P26" s="495"/>
      <c r="Q26" s="495"/>
    </row>
    <row r="27" spans="1:19" s="368" customFormat="1" ht="18" customHeight="1" thickTop="1" thickBot="1">
      <c r="A27" s="516" t="s">
        <v>52</v>
      </c>
      <c r="B27" s="517">
        <f>B18+B24</f>
        <v>0</v>
      </c>
      <c r="C27" s="498"/>
      <c r="D27" s="499"/>
      <c r="E27" s="500">
        <f>E18+E24</f>
        <v>0</v>
      </c>
      <c r="F27" s="501"/>
      <c r="G27" s="502"/>
      <c r="H27" s="520">
        <f t="shared" ref="H27:Q27" si="8">H18+H24</f>
        <v>0</v>
      </c>
      <c r="I27" s="519">
        <f t="shared" si="8"/>
        <v>0</v>
      </c>
      <c r="J27" s="520">
        <f t="shared" si="8"/>
        <v>0</v>
      </c>
      <c r="K27" s="521">
        <f t="shared" si="8"/>
        <v>0</v>
      </c>
      <c r="L27" s="520">
        <f t="shared" si="8"/>
        <v>0</v>
      </c>
      <c r="M27" s="521">
        <f t="shared" si="8"/>
        <v>0</v>
      </c>
      <c r="N27" s="520">
        <f t="shared" si="8"/>
        <v>0</v>
      </c>
      <c r="O27" s="521">
        <f t="shared" si="8"/>
        <v>0</v>
      </c>
      <c r="P27" s="520">
        <f t="shared" si="8"/>
        <v>0</v>
      </c>
      <c r="Q27" s="521">
        <f t="shared" si="8"/>
        <v>0</v>
      </c>
    </row>
    <row r="28" spans="1:19" ht="16.5" thickTop="1">
      <c r="A28" s="404"/>
      <c r="B28" s="405"/>
      <c r="C28" s="405"/>
      <c r="D28" s="503"/>
      <c r="E28" s="503"/>
      <c r="F28" s="503"/>
      <c r="G28" s="503"/>
      <c r="H28" s="504"/>
      <c r="I28" s="505"/>
      <c r="J28" s="505"/>
      <c r="K28" s="505"/>
      <c r="L28" s="505"/>
      <c r="M28" s="505"/>
      <c r="N28" s="405"/>
      <c r="O28" s="405"/>
      <c r="P28" s="405"/>
      <c r="Q28" s="405"/>
    </row>
    <row r="29" spans="1:19">
      <c r="A29" s="404"/>
      <c r="B29" s="405"/>
      <c r="C29" s="405"/>
      <c r="D29" s="503"/>
      <c r="E29" s="503"/>
      <c r="F29" s="503"/>
      <c r="G29" s="503"/>
      <c r="H29" s="504"/>
      <c r="I29" s="505"/>
      <c r="J29" s="505"/>
      <c r="K29" s="505"/>
      <c r="L29" s="505"/>
      <c r="M29" s="505"/>
      <c r="N29" s="405"/>
      <c r="O29" s="405"/>
      <c r="P29" s="405"/>
      <c r="Q29" s="405"/>
    </row>
  </sheetData>
  <sheetProtection formatColumns="0" formatRows="0"/>
  <mergeCells count="17">
    <mergeCell ref="J7:J8"/>
    <mergeCell ref="L7:L8"/>
    <mergeCell ref="K7:K8"/>
    <mergeCell ref="A7:A8"/>
    <mergeCell ref="B7:B8"/>
    <mergeCell ref="I7:I8"/>
    <mergeCell ref="E7:E8"/>
    <mergeCell ref="D7:D8"/>
    <mergeCell ref="F7:F8"/>
    <mergeCell ref="G7:G8"/>
    <mergeCell ref="H7:H8"/>
    <mergeCell ref="C7:C8"/>
    <mergeCell ref="Q7:Q8"/>
    <mergeCell ref="N7:N8"/>
    <mergeCell ref="O7:O8"/>
    <mergeCell ref="P7:P8"/>
    <mergeCell ref="M7:M8"/>
  </mergeCells>
  <phoneticPr fontId="9" type="noConversion"/>
  <conditionalFormatting sqref="I9:Q9">
    <cfRule type="cellIs" dxfId="114" priority="2" stopIfTrue="1" operator="lessThan">
      <formula>0</formula>
    </cfRule>
  </conditionalFormatting>
  <dataValidations count="2">
    <dataValidation allowBlank="1" showInputMessage="1" showErrorMessage="1" error="Solo valores numéricos positivos." sqref="C10:C17 S10:S25 D10:D25 C20:C24"/>
    <dataValidation allowBlank="1" showInputMessage="1" sqref="C9 B9:B17 C6 B20:B23"/>
  </dataValidations>
  <printOptions horizontalCentered="1" verticalCentered="1"/>
  <pageMargins left="0.78740157480314965" right="0.39370078740157483" top="0.4" bottom="0.59055118110236227" header="0.28000000000000003" footer="0.31496062992125984"/>
  <pageSetup paperSize="9" scale="51" orientation="landscape" horizontalDpi="300" verticalDpi="300" r:id="rId1"/>
  <headerFooter alignWithMargins="0">
    <oddFooter>&amp;A</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0"/>
  <sheetViews>
    <sheetView zoomScale="73" zoomScaleNormal="73" workbookViewId="0">
      <selection activeCell="N13" sqref="N13"/>
    </sheetView>
  </sheetViews>
  <sheetFormatPr baseColWidth="10" defaultColWidth="11.1640625" defaultRowHeight="15.75"/>
  <cols>
    <col min="1" max="1" width="15.6640625" style="581" customWidth="1"/>
    <col min="2" max="2" width="5.6640625" style="581" customWidth="1"/>
    <col min="3" max="3" width="17.6640625" style="581" customWidth="1"/>
    <col min="4" max="5" width="19.1640625" style="581" customWidth="1"/>
    <col min="6" max="6" width="20" style="581" customWidth="1"/>
    <col min="7" max="7" width="8" style="581" customWidth="1"/>
    <col min="8" max="8" width="33.1640625" style="581" customWidth="1"/>
    <col min="9" max="12" width="23.5" style="581" customWidth="1"/>
    <col min="13" max="13" width="11.1640625" style="581" customWidth="1"/>
    <col min="14" max="15" width="19.1640625" style="581" customWidth="1"/>
    <col min="16" max="16" width="13.1640625" style="581" customWidth="1"/>
    <col min="17" max="17" width="14.6640625" style="581" customWidth="1"/>
    <col min="18" max="18" width="15.33203125" style="581" customWidth="1"/>
    <col min="19" max="19" width="15.5" style="581" customWidth="1"/>
    <col min="20" max="16384" width="11.1640625" style="581"/>
  </cols>
  <sheetData>
    <row r="1" spans="1:20" ht="15" customHeight="1">
      <c r="A1" s="580" t="str">
        <f>IF('1.Datos Básicos. Product-Serv'!B5=0,"",'1.Datos Básicos. Product-Serv'!B5)</f>
        <v/>
      </c>
      <c r="F1" s="582"/>
      <c r="G1" s="582"/>
    </row>
    <row r="2" spans="1:20" ht="15" customHeight="1">
      <c r="A2" s="580"/>
      <c r="F2" s="582"/>
      <c r="G2" s="582"/>
    </row>
    <row r="3" spans="1:20" ht="15" customHeight="1">
      <c r="C3" s="583"/>
    </row>
    <row r="4" spans="1:20" ht="23.25" customHeight="1">
      <c r="B4" s="1246" t="s">
        <v>372</v>
      </c>
      <c r="C4" s="584"/>
      <c r="D4" s="584"/>
      <c r="E4" s="584"/>
      <c r="F4" s="584"/>
    </row>
    <row r="5" spans="1:20" ht="19.5" customHeight="1"/>
    <row r="6" spans="1:20" ht="25.5" customHeight="1">
      <c r="B6" s="585"/>
      <c r="C6" s="586"/>
      <c r="D6" s="586"/>
      <c r="E6" s="586"/>
      <c r="F6" s="587"/>
    </row>
    <row r="7" spans="1:20" ht="20.100000000000001" customHeight="1" thickBot="1">
      <c r="C7" s="588"/>
      <c r="F7" s="589"/>
    </row>
    <row r="8" spans="1:20" ht="58.5" customHeight="1" thickTop="1" thickBot="1">
      <c r="B8" s="590"/>
      <c r="C8" s="3192" t="s">
        <v>42</v>
      </c>
      <c r="D8" s="3193" t="s">
        <v>14</v>
      </c>
      <c r="E8" s="3193" t="s">
        <v>11</v>
      </c>
      <c r="F8" s="3194" t="s">
        <v>183</v>
      </c>
      <c r="G8" s="590"/>
      <c r="H8" s="3195" t="s">
        <v>374</v>
      </c>
      <c r="I8" s="3192" t="s">
        <v>14</v>
      </c>
      <c r="J8" s="3196" t="s">
        <v>11</v>
      </c>
      <c r="K8" s="3197" t="s">
        <v>183</v>
      </c>
      <c r="L8" s="3198" t="s">
        <v>15</v>
      </c>
      <c r="N8" s="590"/>
      <c r="O8" s="590"/>
      <c r="P8" s="591"/>
      <c r="Q8" s="591"/>
      <c r="R8" s="591"/>
      <c r="S8" s="591"/>
      <c r="T8" s="591"/>
    </row>
    <row r="9" spans="1:20" ht="15.75" customHeight="1" thickTop="1">
      <c r="B9" s="3729" t="str">
        <f>"1º ej."&amp;'1.Datos Básicos. Product-Serv'!B11</f>
        <v>1º ej.0</v>
      </c>
      <c r="C9" s="607" t="str">
        <f>Enero</f>
        <v>Enero</v>
      </c>
      <c r="D9" s="608">
        <f>SUM('P P1:P P4'!O12)</f>
        <v>0</v>
      </c>
      <c r="E9" s="608">
        <f>SUM('P P1:P P4'!P12)</f>
        <v>0</v>
      </c>
      <c r="F9" s="609">
        <f>SUM('P P1:P P4'!Q12)</f>
        <v>0</v>
      </c>
      <c r="G9" s="590"/>
      <c r="H9" s="1247" t="str">
        <f>"1º ej."&amp;'1.Datos Básicos. Product-Serv'!$B$11</f>
        <v>1º ej.0</v>
      </c>
      <c r="I9" s="623">
        <f>SUM(D9:D20)</f>
        <v>0</v>
      </c>
      <c r="J9" s="624">
        <f>SUM(E9:E20)</f>
        <v>0</v>
      </c>
      <c r="K9" s="624">
        <f>SUM(F9:F20)</f>
        <v>0</v>
      </c>
      <c r="L9" s="625">
        <f>SUM('P P1:P P4'!R3)</f>
        <v>0</v>
      </c>
      <c r="N9" s="590"/>
      <c r="O9" s="590"/>
      <c r="P9" s="591"/>
      <c r="Q9" s="592"/>
      <c r="R9" s="593"/>
      <c r="S9" s="593"/>
      <c r="T9" s="591"/>
    </row>
    <row r="10" spans="1:20" s="594" customFormat="1" ht="15" customHeight="1">
      <c r="B10" s="3730"/>
      <c r="C10" s="610" t="str">
        <f>'2.Ventas y Cobros (Ej 1º,2º)'!E8</f>
        <v>Febrero</v>
      </c>
      <c r="D10" s="611">
        <f>SUM('P P1:P P4'!O13)</f>
        <v>0</v>
      </c>
      <c r="E10" s="611">
        <f>SUM('P P1:P P4'!P13)</f>
        <v>0</v>
      </c>
      <c r="F10" s="612">
        <f>SUM('P P1:P P4'!Q13)</f>
        <v>0</v>
      </c>
      <c r="G10" s="595"/>
      <c r="H10" s="1249" t="str">
        <f>"2º ej."&amp;'1.Datos Básicos. Product-Serv'!E11</f>
        <v>2º ej.1</v>
      </c>
      <c r="I10" s="1250">
        <f>SUM(D21:D32)</f>
        <v>0</v>
      </c>
      <c r="J10" s="1251">
        <f>SUM(E21:E32)</f>
        <v>0</v>
      </c>
      <c r="K10" s="1251">
        <f>SUM(F21:F32)</f>
        <v>0</v>
      </c>
      <c r="L10" s="1252">
        <f>SUM('P P1:P P4'!R4)</f>
        <v>0</v>
      </c>
      <c r="N10" s="590"/>
      <c r="O10" s="590"/>
      <c r="Q10" s="592"/>
      <c r="R10" s="596"/>
      <c r="S10" s="593"/>
    </row>
    <row r="11" spans="1:20" ht="15.75" customHeight="1">
      <c r="B11" s="3730"/>
      <c r="C11" s="610" t="str">
        <f>'2.Ventas y Cobros (Ej 1º,2º)'!F8</f>
        <v>Marzo</v>
      </c>
      <c r="D11" s="611">
        <f>SUM('P P1:P P4'!O14)</f>
        <v>0</v>
      </c>
      <c r="E11" s="611">
        <f>SUM('P P1:P P4'!P14)</f>
        <v>0</v>
      </c>
      <c r="F11" s="612">
        <f>SUM('P P1:P P4'!Q14)</f>
        <v>0</v>
      </c>
      <c r="G11" s="590"/>
      <c r="H11" s="1249" t="str">
        <f>"3º ej,"&amp;'1.Datos Básicos. Product-Serv'!F11</f>
        <v>3º ej,2</v>
      </c>
      <c r="I11" s="1250">
        <f>SUM(D33:D44)</f>
        <v>0</v>
      </c>
      <c r="J11" s="1251">
        <f>SUM(E33:E44)</f>
        <v>0</v>
      </c>
      <c r="K11" s="1251">
        <f>SUM(F33:F44)</f>
        <v>0</v>
      </c>
      <c r="L11" s="1252">
        <f>SUM('P P1:P P4'!R5)</f>
        <v>0</v>
      </c>
      <c r="N11" s="590"/>
      <c r="O11" s="590"/>
      <c r="P11" s="591"/>
      <c r="Q11" s="597"/>
      <c r="R11" s="597"/>
      <c r="S11" s="597"/>
      <c r="T11" s="591"/>
    </row>
    <row r="12" spans="1:20" ht="15.75" customHeight="1">
      <c r="B12" s="3730"/>
      <c r="C12" s="610" t="str">
        <f>'2.Ventas y Cobros (Ej 1º,2º)'!G8</f>
        <v>Abril</v>
      </c>
      <c r="D12" s="611">
        <f>SUM('P P1:P P4'!O15)</f>
        <v>0</v>
      </c>
      <c r="E12" s="611">
        <f>SUM('P P1:P P4'!P15)</f>
        <v>0</v>
      </c>
      <c r="F12" s="612">
        <f>SUM('P P1:P P4'!Q15)</f>
        <v>0</v>
      </c>
      <c r="G12" s="590"/>
      <c r="H12" s="1249" t="str">
        <f>"4º ej."&amp;'1.Datos Básicos. Product-Serv'!G11</f>
        <v>4º ej.3</v>
      </c>
      <c r="I12" s="1250">
        <f>SUM(D45:D56)</f>
        <v>0</v>
      </c>
      <c r="J12" s="1251">
        <f>SUM(E45:E56)</f>
        <v>0</v>
      </c>
      <c r="K12" s="1251">
        <f>SUM(F45:F56)</f>
        <v>0</v>
      </c>
      <c r="L12" s="1252">
        <f>SUM('P P1:P P4'!R6)</f>
        <v>0</v>
      </c>
      <c r="N12" s="590"/>
      <c r="O12" s="590"/>
      <c r="P12" s="591"/>
      <c r="Q12" s="598"/>
      <c r="R12" s="598"/>
      <c r="S12" s="598"/>
      <c r="T12" s="591"/>
    </row>
    <row r="13" spans="1:20" ht="15.75" customHeight="1" thickBot="1">
      <c r="B13" s="3730"/>
      <c r="C13" s="610" t="str">
        <f>'2.Ventas y Cobros (Ej 1º,2º)'!H8</f>
        <v>Mayo</v>
      </c>
      <c r="D13" s="611">
        <f>SUM('P P1:P P4'!O16)</f>
        <v>0</v>
      </c>
      <c r="E13" s="611">
        <f>SUM('P P1:P P4'!P16)</f>
        <v>0</v>
      </c>
      <c r="F13" s="612">
        <f>SUM('P P1:P P4'!Q16)</f>
        <v>0</v>
      </c>
      <c r="G13" s="590"/>
      <c r="H13" s="1248" t="str">
        <f>"5º ej."&amp;'1.Datos Básicos. Product-Serv'!H11</f>
        <v>5º ej.4</v>
      </c>
      <c r="I13" s="627">
        <f>SUM(D57:D68)</f>
        <v>0</v>
      </c>
      <c r="J13" s="628">
        <f>SUM(E57:E68)</f>
        <v>0</v>
      </c>
      <c r="K13" s="628">
        <f>SUM(F57:F68)</f>
        <v>0</v>
      </c>
      <c r="L13" s="629">
        <f>SUM('P P1:P P4'!R7)</f>
        <v>0</v>
      </c>
      <c r="N13" s="590"/>
      <c r="O13" s="590"/>
      <c r="Q13" s="599"/>
      <c r="R13" s="599"/>
      <c r="S13" s="599"/>
    </row>
    <row r="14" spans="1:20" ht="15.75" customHeight="1" thickTop="1" thickBot="1">
      <c r="B14" s="3730"/>
      <c r="C14" s="610" t="str">
        <f>'2.Ventas y Cobros (Ej 1º,2º)'!I8</f>
        <v>Junio</v>
      </c>
      <c r="D14" s="611">
        <f>SUM('P P1:P P4'!O17)</f>
        <v>0</v>
      </c>
      <c r="E14" s="611">
        <f>SUM('P P1:P P4'!P17)</f>
        <v>0</v>
      </c>
      <c r="F14" s="612">
        <f>SUM('P P1:P P4'!Q17)</f>
        <v>0</v>
      </c>
      <c r="G14" s="590"/>
      <c r="H14" s="630"/>
      <c r="I14" s="631">
        <f>SUM(D69:D80)</f>
        <v>0</v>
      </c>
      <c r="J14" s="631">
        <f>SUM(E69:E80)</f>
        <v>0</v>
      </c>
      <c r="K14" s="631">
        <f>SUM(F69:F80)</f>
        <v>0</v>
      </c>
      <c r="L14" s="1277">
        <f>SUM('Aux.4.0.Leasing Inicial:Aux 4.5.Leasing 5'!R8)</f>
        <v>0</v>
      </c>
      <c r="M14" s="405"/>
      <c r="N14" s="590"/>
      <c r="O14" s="590"/>
      <c r="Q14" s="599"/>
      <c r="R14" s="599"/>
      <c r="S14" s="599"/>
    </row>
    <row r="15" spans="1:20" ht="17.25" customHeight="1" thickTop="1">
      <c r="B15" s="3730"/>
      <c r="C15" s="610" t="str">
        <f>'2.Ventas y Cobros (Ej 1º,2º)'!J8</f>
        <v>Julio</v>
      </c>
      <c r="D15" s="611">
        <f>SUM('P P1:P P4'!O18)</f>
        <v>0</v>
      </c>
      <c r="E15" s="611">
        <f>SUM('P P1:P P4'!P18)</f>
        <v>0</v>
      </c>
      <c r="F15" s="612">
        <f>SUM('P P1:P P4'!Q18)</f>
        <v>0</v>
      </c>
      <c r="G15" s="590"/>
      <c r="H15" s="3732" t="s">
        <v>85</v>
      </c>
      <c r="I15" s="3725" t="str">
        <f>IF('1.Datos Básicos. Product-Serv'!B19="SI","1. Valor a Final Ejerc. "&amp;Año_Com_Ejerc_0,"Inicio 1º ejerc.")</f>
        <v>Inicio 1º ejerc.</v>
      </c>
      <c r="J15" s="3727" t="str">
        <f>"1º ejerc."&amp;'1.Datos Básicos. Product-Serv'!B11</f>
        <v>1º ejerc.0</v>
      </c>
      <c r="K15" s="3727" t="str">
        <f>"2º ejerc."&amp;'1.Datos Básicos. Product-Serv'!E11</f>
        <v>2º ejerc.1</v>
      </c>
      <c r="L15" s="3727" t="str">
        <f>"3º ejerc."&amp;'1.Datos Básicos. Product-Serv'!F11</f>
        <v>3º ejerc.2</v>
      </c>
      <c r="Q15" s="599"/>
      <c r="R15" s="599"/>
      <c r="S15" s="599"/>
    </row>
    <row r="16" spans="1:20" ht="15.75" customHeight="1" thickBot="1">
      <c r="B16" s="3730"/>
      <c r="C16" s="610" t="str">
        <f>'2.Ventas y Cobros (Ej 1º,2º)'!K8</f>
        <v>Agosto</v>
      </c>
      <c r="D16" s="611">
        <f>SUM('P P1:P P4'!O19)</f>
        <v>0</v>
      </c>
      <c r="E16" s="611">
        <f>SUM('P P1:P P4'!P19)</f>
        <v>0</v>
      </c>
      <c r="F16" s="612">
        <f>SUM('P P1:P P4'!Q19)</f>
        <v>0</v>
      </c>
      <c r="G16" s="590"/>
      <c r="H16" s="3733"/>
      <c r="I16" s="3726"/>
      <c r="J16" s="3728"/>
      <c r="K16" s="3728"/>
      <c r="L16" s="3728"/>
      <c r="Q16" s="600"/>
      <c r="R16" s="600"/>
      <c r="S16" s="600"/>
    </row>
    <row r="17" spans="2:15" ht="15.75" customHeight="1" thickTop="1">
      <c r="B17" s="3730"/>
      <c r="C17" s="610" t="str">
        <f>'2.Ventas y Cobros (Ej 1º,2º)'!L8</f>
        <v>Septiembre</v>
      </c>
      <c r="D17" s="611">
        <f>SUM('P P1:P P4'!O20)</f>
        <v>0</v>
      </c>
      <c r="E17" s="611">
        <f>SUM('P P1:P P4'!P20)</f>
        <v>0</v>
      </c>
      <c r="F17" s="612">
        <f>SUM('P P1:P P4'!Q20)</f>
        <v>0</v>
      </c>
      <c r="G17" s="590"/>
      <c r="H17" s="653" t="s">
        <v>396</v>
      </c>
      <c r="I17" s="604">
        <f>'(0) 1b. Pasivos de Partida'!B16</f>
        <v>0</v>
      </c>
      <c r="J17" s="605">
        <f>'7. Plan Invers-Financ (1º,2º)'!AA46</f>
        <v>0</v>
      </c>
      <c r="K17" s="605">
        <f>'7. Plan Invers-Financ (1º,2º)'!AL46</f>
        <v>0</v>
      </c>
      <c r="L17" s="606">
        <f>'7. Plan Invers-Financ (1º,2º)'!AV44</f>
        <v>0</v>
      </c>
    </row>
    <row r="18" spans="2:15" ht="15.75" customHeight="1">
      <c r="B18" s="3730"/>
      <c r="C18" s="610" t="str">
        <f>'2.Ventas y Cobros (Ej 1º,2º)'!M8</f>
        <v>Octubre</v>
      </c>
      <c r="D18" s="611">
        <f>SUM('P P1:P P4'!O21)</f>
        <v>0</v>
      </c>
      <c r="E18" s="611">
        <f>SUM('P P1:P P4'!P21)</f>
        <v>0</v>
      </c>
      <c r="F18" s="612">
        <f>SUM('P P1:P P4'!Q21)</f>
        <v>0</v>
      </c>
      <c r="G18" s="590"/>
      <c r="H18" s="653" t="s">
        <v>9</v>
      </c>
      <c r="I18" s="2525">
        <f>'7. Plan Invers-Financ (1º,2º)'!Q27</f>
        <v>0.05</v>
      </c>
      <c r="J18" s="2615">
        <f>'7. Plan Invers-Financ (1º,2º)'!AD46</f>
        <v>0.05</v>
      </c>
      <c r="K18" s="2615">
        <f>'7. Plan Invers-Financ (1º,2º)'!AO46</f>
        <v>0.05</v>
      </c>
      <c r="L18" s="2515">
        <v>0.04</v>
      </c>
    </row>
    <row r="19" spans="2:15" ht="15.75" customHeight="1">
      <c r="B19" s="3730"/>
      <c r="C19" s="610" t="str">
        <f>'2.Ventas y Cobros (Ej 1º,2º)'!N8</f>
        <v>Noviembre</v>
      </c>
      <c r="D19" s="611">
        <f>SUM('P P1:P P4'!O22)</f>
        <v>0</v>
      </c>
      <c r="E19" s="611">
        <f>SUM('P P1:P P4'!P22)</f>
        <v>0</v>
      </c>
      <c r="F19" s="612">
        <f>SUM('P P1:P P4'!Q22)</f>
        <v>0</v>
      </c>
      <c r="G19" s="590"/>
      <c r="H19" s="653" t="str">
        <f>IF(Consolidación?="SI","Años Restantes","Años")</f>
        <v>Años</v>
      </c>
      <c r="I19" s="2526">
        <f>'7. Plan Invers-Financ (1º,2º)'!R27</f>
        <v>5</v>
      </c>
      <c r="J19" s="2616">
        <f>'7. Plan Invers-Financ (1º,2º)'!AE46</f>
        <v>4</v>
      </c>
      <c r="K19" s="2616">
        <f>'7. Plan Invers-Financ (1º,2º)'!AP46</f>
        <v>4</v>
      </c>
      <c r="L19" s="2517">
        <v>6</v>
      </c>
    </row>
    <row r="20" spans="2:15" ht="15.75" customHeight="1" thickBot="1">
      <c r="B20" s="3731"/>
      <c r="C20" s="613" t="str">
        <f>'2.Ventas y Cobros (Ej 1º,2º)'!O8</f>
        <v>Diciembre</v>
      </c>
      <c r="D20" s="611">
        <f>SUM('P P1:P P4'!O23)</f>
        <v>0</v>
      </c>
      <c r="E20" s="611">
        <f>SUM('P P1:P P4'!P23)</f>
        <v>0</v>
      </c>
      <c r="F20" s="612">
        <f>SUM('P P1:P P4'!Q23)</f>
        <v>0</v>
      </c>
      <c r="G20" s="590"/>
      <c r="H20" s="653" t="s">
        <v>218</v>
      </c>
      <c r="I20" s="2526">
        <f>'7. Plan Invers-Financ (1º,2º)'!S27</f>
        <v>12</v>
      </c>
      <c r="J20" s="2616">
        <f>'7. Plan Invers-Financ (1º,2º)'!AF46</f>
        <v>4</v>
      </c>
      <c r="K20" s="2616">
        <f>'7. Plan Invers-Financ (1º,2º)'!AQ46</f>
        <v>4</v>
      </c>
      <c r="L20" s="2517">
        <v>4</v>
      </c>
    </row>
    <row r="21" spans="2:15" ht="15.75" customHeight="1">
      <c r="B21" s="3729" t="str">
        <f>"2º ej."&amp;'1.Datos Básicos. Product-Serv'!E11</f>
        <v>2º ej.1</v>
      </c>
      <c r="C21" s="610" t="str">
        <f>C9</f>
        <v>Enero</v>
      </c>
      <c r="D21" s="614">
        <f>SUM('P P1:P P4'!O24)</f>
        <v>0</v>
      </c>
      <c r="E21" s="614">
        <f>SUM('P P1:P P4'!P24)</f>
        <v>0</v>
      </c>
      <c r="F21" s="615">
        <f>SUM('P P1:P P4'!Q24)</f>
        <v>0</v>
      </c>
      <c r="G21" s="590"/>
      <c r="H21" s="654" t="s">
        <v>97</v>
      </c>
      <c r="I21" s="2526">
        <f>'7. Plan Invers-Financ (1º,2º)'!T27</f>
        <v>0</v>
      </c>
      <c r="J21" s="2616">
        <f>'7. Plan Invers-Financ (1º,2º)'!AG46</f>
        <v>0</v>
      </c>
      <c r="K21" s="2616">
        <f>'7. Plan Invers-Financ (1º,2º)'!AR46</f>
        <v>0</v>
      </c>
      <c r="L21" s="2517">
        <v>0</v>
      </c>
    </row>
    <row r="22" spans="2:15" ht="15.75" customHeight="1" thickBot="1">
      <c r="B22" s="3730"/>
      <c r="C22" s="610" t="str">
        <f>C10</f>
        <v>Febrero</v>
      </c>
      <c r="D22" s="611">
        <f>SUM('P P1:P P4'!O25)</f>
        <v>0</v>
      </c>
      <c r="E22" s="611">
        <f>SUM('P P1:P P4'!P25)</f>
        <v>0</v>
      </c>
      <c r="F22" s="612">
        <f>SUM('P P1:P P4'!Q25)</f>
        <v>0</v>
      </c>
      <c r="G22" s="590"/>
      <c r="H22" s="655" t="s">
        <v>224</v>
      </c>
      <c r="I22" s="2527">
        <f>'7. Plan Invers-Financ (1º,2º)'!U27</f>
        <v>0</v>
      </c>
      <c r="J22" s="2617">
        <f>'7. Plan Invers-Financ (1º,2º)'!AH46</f>
        <v>0</v>
      </c>
      <c r="K22" s="2617">
        <f>'7. Plan Invers-Financ (1º,2º)'!AS46</f>
        <v>0</v>
      </c>
      <c r="L22" s="2519">
        <v>0</v>
      </c>
    </row>
    <row r="23" spans="2:15" ht="15.75" customHeight="1" thickTop="1">
      <c r="B23" s="3730"/>
      <c r="C23" s="610" t="str">
        <f t="shared" ref="C23:C32" si="0">C11</f>
        <v>Marzo</v>
      </c>
      <c r="D23" s="611">
        <f>SUM('P P1:P P4'!O26)</f>
        <v>0</v>
      </c>
      <c r="E23" s="611">
        <f>SUM('P P1:P P4'!P26)</f>
        <v>0</v>
      </c>
      <c r="F23" s="612">
        <f>SUM('P P1:P P4'!Q26)</f>
        <v>0</v>
      </c>
      <c r="G23" s="590"/>
      <c r="H23" s="590"/>
      <c r="I23" s="601"/>
      <c r="J23" s="602"/>
      <c r="K23" s="590"/>
      <c r="L23" s="602"/>
      <c r="M23" s="590"/>
      <c r="N23" s="590"/>
      <c r="O23" s="590"/>
    </row>
    <row r="24" spans="2:15" ht="15.75" customHeight="1">
      <c r="B24" s="3730"/>
      <c r="C24" s="610" t="str">
        <f t="shared" si="0"/>
        <v>Abril</v>
      </c>
      <c r="D24" s="611">
        <f>SUM('P P1:P P4'!O27)</f>
        <v>0</v>
      </c>
      <c r="E24" s="611">
        <f>SUM('P P1:P P4'!P27)</f>
        <v>0</v>
      </c>
      <c r="F24" s="612">
        <f>SUM('P P1:P P4'!Q27)</f>
        <v>0</v>
      </c>
      <c r="G24" s="590"/>
      <c r="H24" s="603" t="s">
        <v>489</v>
      </c>
    </row>
    <row r="25" spans="2:15" ht="15.75" customHeight="1">
      <c r="B25" s="3730"/>
      <c r="C25" s="610" t="str">
        <f t="shared" si="0"/>
        <v>Mayo</v>
      </c>
      <c r="D25" s="611">
        <f>SUM('P P1:P P4'!O28)</f>
        <v>0</v>
      </c>
      <c r="E25" s="611">
        <f>SUM('P P1:P P4'!P28)</f>
        <v>0</v>
      </c>
      <c r="F25" s="612">
        <f>SUM('P P1:P P4'!Q28)</f>
        <v>0</v>
      </c>
      <c r="G25" s="590"/>
      <c r="H25" s="603" t="s">
        <v>488</v>
      </c>
    </row>
    <row r="26" spans="2:15" ht="15.75" customHeight="1">
      <c r="B26" s="3730"/>
      <c r="C26" s="610" t="str">
        <f t="shared" si="0"/>
        <v>Junio</v>
      </c>
      <c r="D26" s="611">
        <f>SUM('P P1:P P4'!O29)</f>
        <v>0</v>
      </c>
      <c r="E26" s="611">
        <f>SUM('P P1:P P4'!P29)</f>
        <v>0</v>
      </c>
      <c r="F26" s="612">
        <f>SUM('P P1:P P4'!Q29)</f>
        <v>0</v>
      </c>
      <c r="G26" s="590"/>
      <c r="H26" s="345"/>
    </row>
    <row r="27" spans="2:15" ht="15.75" customHeight="1">
      <c r="B27" s="3730"/>
      <c r="C27" s="610" t="str">
        <f t="shared" si="0"/>
        <v>Julio</v>
      </c>
      <c r="D27" s="611">
        <f>SUM('P P1:P P4'!O30)</f>
        <v>0</v>
      </c>
      <c r="E27" s="611">
        <f>SUM('P P1:P P4'!P30)</f>
        <v>0</v>
      </c>
      <c r="F27" s="612">
        <f>SUM('P P1:P P4'!Q30)</f>
        <v>0</v>
      </c>
      <c r="G27" s="590"/>
      <c r="H27" s="603"/>
    </row>
    <row r="28" spans="2:15" ht="15.75" customHeight="1">
      <c r="B28" s="3730"/>
      <c r="C28" s="610" t="str">
        <f t="shared" si="0"/>
        <v>Agosto</v>
      </c>
      <c r="D28" s="611">
        <f>SUM('P P1:P P4'!O31)</f>
        <v>0</v>
      </c>
      <c r="E28" s="611">
        <f>SUM('P P1:P P4'!P31)</f>
        <v>0</v>
      </c>
      <c r="F28" s="612">
        <f>SUM('P P1:P P4'!Q31)</f>
        <v>0</v>
      </c>
      <c r="G28" s="590"/>
      <c r="H28" s="603"/>
    </row>
    <row r="29" spans="2:15" ht="15.75" customHeight="1">
      <c r="B29" s="3730"/>
      <c r="C29" s="610" t="str">
        <f t="shared" si="0"/>
        <v>Septiembre</v>
      </c>
      <c r="D29" s="611">
        <f>SUM('P P1:P P4'!O32)</f>
        <v>0</v>
      </c>
      <c r="E29" s="611">
        <f>SUM('P P1:P P4'!P32)</f>
        <v>0</v>
      </c>
      <c r="F29" s="612">
        <f>SUM('P P1:P P4'!Q32)</f>
        <v>0</v>
      </c>
      <c r="G29" s="590"/>
    </row>
    <row r="30" spans="2:15" ht="15.75" customHeight="1">
      <c r="B30" s="3730"/>
      <c r="C30" s="610" t="str">
        <f t="shared" si="0"/>
        <v>Octubre</v>
      </c>
      <c r="D30" s="611">
        <f>SUM('P P1:P P4'!O33)</f>
        <v>0</v>
      </c>
      <c r="E30" s="611">
        <f>SUM('P P1:P P4'!P33)</f>
        <v>0</v>
      </c>
      <c r="F30" s="612">
        <f>SUM('P P1:P P4'!Q33)</f>
        <v>0</v>
      </c>
      <c r="G30" s="590"/>
    </row>
    <row r="31" spans="2:15" ht="15.75" customHeight="1">
      <c r="B31" s="3730"/>
      <c r="C31" s="610" t="str">
        <f t="shared" si="0"/>
        <v>Noviembre</v>
      </c>
      <c r="D31" s="611">
        <f>SUM('P P1:P P4'!O34)</f>
        <v>0</v>
      </c>
      <c r="E31" s="611">
        <f>SUM('P P1:P P4'!P34)</f>
        <v>0</v>
      </c>
      <c r="F31" s="612">
        <f>SUM('P P1:P P4'!Q34)</f>
        <v>0</v>
      </c>
      <c r="G31" s="590"/>
    </row>
    <row r="32" spans="2:15" ht="15.75" customHeight="1" thickBot="1">
      <c r="B32" s="3731"/>
      <c r="C32" s="610" t="str">
        <f t="shared" si="0"/>
        <v>Diciembre</v>
      </c>
      <c r="D32" s="616">
        <f>SUM('P P1:P P4'!O35)</f>
        <v>0</v>
      </c>
      <c r="E32" s="616">
        <f>SUM('P P1:P P4'!P35)</f>
        <v>0</v>
      </c>
      <c r="F32" s="617">
        <f>SUM('P P1:P P4'!Q35)</f>
        <v>0</v>
      </c>
      <c r="G32" s="590"/>
    </row>
    <row r="33" spans="2:7" ht="15.75" customHeight="1">
      <c r="B33" s="3729" t="str">
        <f>"3º ej."&amp;'1.Datos Básicos. Product-Serv'!F11</f>
        <v>3º ej.2</v>
      </c>
      <c r="C33" s="618" t="str">
        <f>C9</f>
        <v>Enero</v>
      </c>
      <c r="D33" s="611">
        <f>SUM('P P1:P P4'!O36)</f>
        <v>0</v>
      </c>
      <c r="E33" s="611">
        <f>SUM('P P1:P P4'!P36)</f>
        <v>0</v>
      </c>
      <c r="F33" s="612">
        <f>SUM('P P1:P P4'!Q36)</f>
        <v>0</v>
      </c>
      <c r="G33" s="590"/>
    </row>
    <row r="34" spans="2:7" ht="15.75" customHeight="1">
      <c r="B34" s="3730"/>
      <c r="C34" s="610" t="str">
        <f>C10</f>
        <v>Febrero</v>
      </c>
      <c r="D34" s="611">
        <f>SUM('P P1:P P4'!O37)</f>
        <v>0</v>
      </c>
      <c r="E34" s="611">
        <f>SUM('P P1:P P4'!P37)</f>
        <v>0</v>
      </c>
      <c r="F34" s="612">
        <f>SUM('P P1:P P4'!Q37)</f>
        <v>0</v>
      </c>
      <c r="G34" s="590"/>
    </row>
    <row r="35" spans="2:7" ht="15.75" customHeight="1">
      <c r="B35" s="3730"/>
      <c r="C35" s="610" t="str">
        <f t="shared" ref="C35:C44" si="1">C11</f>
        <v>Marzo</v>
      </c>
      <c r="D35" s="611">
        <f>SUM('P P1:P P4'!O38)</f>
        <v>0</v>
      </c>
      <c r="E35" s="611">
        <f>SUM('P P1:P P4'!P38)</f>
        <v>0</v>
      </c>
      <c r="F35" s="612">
        <f>SUM('P P1:P P4'!Q38)</f>
        <v>0</v>
      </c>
      <c r="G35" s="590"/>
    </row>
    <row r="36" spans="2:7" ht="15.75" customHeight="1">
      <c r="B36" s="3730"/>
      <c r="C36" s="610" t="str">
        <f t="shared" si="1"/>
        <v>Abril</v>
      </c>
      <c r="D36" s="611">
        <f>SUM('P P1:P P4'!O39)</f>
        <v>0</v>
      </c>
      <c r="E36" s="611">
        <f>SUM('P P1:P P4'!P39)</f>
        <v>0</v>
      </c>
      <c r="F36" s="612">
        <f>SUM('P P1:P P4'!Q39)</f>
        <v>0</v>
      </c>
      <c r="G36" s="590"/>
    </row>
    <row r="37" spans="2:7" ht="15.75" customHeight="1">
      <c r="B37" s="3730"/>
      <c r="C37" s="610" t="str">
        <f t="shared" si="1"/>
        <v>Mayo</v>
      </c>
      <c r="D37" s="611">
        <f>SUM('P P1:P P4'!O40)</f>
        <v>0</v>
      </c>
      <c r="E37" s="611">
        <f>SUM('P P1:P P4'!P40)</f>
        <v>0</v>
      </c>
      <c r="F37" s="612">
        <f>SUM('P P1:P P4'!Q40)</f>
        <v>0</v>
      </c>
      <c r="G37" s="590"/>
    </row>
    <row r="38" spans="2:7" ht="15.75" customHeight="1">
      <c r="B38" s="3730"/>
      <c r="C38" s="610" t="str">
        <f t="shared" si="1"/>
        <v>Junio</v>
      </c>
      <c r="D38" s="611">
        <f>SUM('P P1:P P4'!O41)</f>
        <v>0</v>
      </c>
      <c r="E38" s="611">
        <f>SUM('P P1:P P4'!P41)</f>
        <v>0</v>
      </c>
      <c r="F38" s="612">
        <f>SUM('P P1:P P4'!Q41)</f>
        <v>0</v>
      </c>
      <c r="G38" s="590"/>
    </row>
    <row r="39" spans="2:7" ht="15.75" customHeight="1">
      <c r="B39" s="3730"/>
      <c r="C39" s="610" t="str">
        <f t="shared" si="1"/>
        <v>Julio</v>
      </c>
      <c r="D39" s="611">
        <f>SUM('P P1:P P4'!O42)</f>
        <v>0</v>
      </c>
      <c r="E39" s="611">
        <f>SUM('P P1:P P4'!P42)</f>
        <v>0</v>
      </c>
      <c r="F39" s="612">
        <f>SUM('P P1:P P4'!Q42)</f>
        <v>0</v>
      </c>
      <c r="G39" s="590"/>
    </row>
    <row r="40" spans="2:7" ht="15.75" customHeight="1">
      <c r="B40" s="3730"/>
      <c r="C40" s="610" t="str">
        <f t="shared" si="1"/>
        <v>Agosto</v>
      </c>
      <c r="D40" s="611">
        <f>SUM('P P1:P P4'!O43)</f>
        <v>0</v>
      </c>
      <c r="E40" s="611">
        <f>SUM('P P1:P P4'!P43)</f>
        <v>0</v>
      </c>
      <c r="F40" s="612">
        <f>SUM('P P1:P P4'!Q43)</f>
        <v>0</v>
      </c>
      <c r="G40" s="590"/>
    </row>
    <row r="41" spans="2:7" ht="15.75" customHeight="1">
      <c r="B41" s="3730"/>
      <c r="C41" s="610" t="str">
        <f t="shared" si="1"/>
        <v>Septiembre</v>
      </c>
      <c r="D41" s="611">
        <f>SUM('P P1:P P4'!O44)</f>
        <v>0</v>
      </c>
      <c r="E41" s="611">
        <f>SUM('P P1:P P4'!P44)</f>
        <v>0</v>
      </c>
      <c r="F41" s="612">
        <f>SUM('P P1:P P4'!Q44)</f>
        <v>0</v>
      </c>
      <c r="G41" s="590"/>
    </row>
    <row r="42" spans="2:7" ht="15.75" customHeight="1">
      <c r="B42" s="3730"/>
      <c r="C42" s="610" t="str">
        <f t="shared" si="1"/>
        <v>Octubre</v>
      </c>
      <c r="D42" s="611">
        <f>SUM('P P1:P P4'!O45)</f>
        <v>0</v>
      </c>
      <c r="E42" s="611">
        <f>SUM('P P1:P P4'!P45)</f>
        <v>0</v>
      </c>
      <c r="F42" s="612">
        <f>SUM('P P1:P P4'!Q45)</f>
        <v>0</v>
      </c>
      <c r="G42" s="590"/>
    </row>
    <row r="43" spans="2:7" ht="15.75" customHeight="1">
      <c r="B43" s="3730"/>
      <c r="C43" s="610" t="str">
        <f t="shared" si="1"/>
        <v>Noviembre</v>
      </c>
      <c r="D43" s="611">
        <f>SUM('P P1:P P4'!O46)</f>
        <v>0</v>
      </c>
      <c r="E43" s="611">
        <f>SUM('P P1:P P4'!P46)</f>
        <v>0</v>
      </c>
      <c r="F43" s="612">
        <f>SUM('P P1:P P4'!Q46)</f>
        <v>0</v>
      </c>
      <c r="G43" s="590"/>
    </row>
    <row r="44" spans="2:7" ht="15.75" customHeight="1" thickBot="1">
      <c r="B44" s="3731"/>
      <c r="C44" s="610" t="str">
        <f t="shared" si="1"/>
        <v>Diciembre</v>
      </c>
      <c r="D44" s="611">
        <f>SUM('P P1:P P4'!O47)</f>
        <v>0</v>
      </c>
      <c r="E44" s="611">
        <f>SUM('P P1:P P4'!P47)</f>
        <v>0</v>
      </c>
      <c r="F44" s="612">
        <f>SUM('P P1:P P4'!Q47)</f>
        <v>0</v>
      </c>
      <c r="G44" s="590"/>
    </row>
    <row r="45" spans="2:7" ht="15.75" customHeight="1">
      <c r="B45" s="3729" t="str">
        <f>"4º ej."&amp;'1.Datos Básicos. Product-Serv'!G11</f>
        <v>4º ej.3</v>
      </c>
      <c r="C45" s="618" t="str">
        <f>C9</f>
        <v>Enero</v>
      </c>
      <c r="D45" s="614">
        <f>SUM('P P1:P P4'!O48)</f>
        <v>0</v>
      </c>
      <c r="E45" s="614">
        <f>SUM('P P1:P P4'!P48)</f>
        <v>0</v>
      </c>
      <c r="F45" s="615">
        <f>SUM('P P1:P P4'!Q48)</f>
        <v>0</v>
      </c>
      <c r="G45" s="590"/>
    </row>
    <row r="46" spans="2:7" ht="15.75" customHeight="1">
      <c r="B46" s="3730"/>
      <c r="C46" s="610" t="str">
        <f>C10</f>
        <v>Febrero</v>
      </c>
      <c r="D46" s="611">
        <f>SUM('P P1:P P4'!O49)</f>
        <v>0</v>
      </c>
      <c r="E46" s="611">
        <f>SUM('P P1:P P4'!P49)</f>
        <v>0</v>
      </c>
      <c r="F46" s="612">
        <f>SUM('P P1:P P4'!Q49)</f>
        <v>0</v>
      </c>
      <c r="G46" s="590"/>
    </row>
    <row r="47" spans="2:7" ht="15.75" customHeight="1">
      <c r="B47" s="3730"/>
      <c r="C47" s="610" t="str">
        <f t="shared" ref="C47:C56" si="2">C11</f>
        <v>Marzo</v>
      </c>
      <c r="D47" s="611">
        <f>SUM('P P1:P P4'!O50)</f>
        <v>0</v>
      </c>
      <c r="E47" s="611">
        <f>SUM('P P1:P P4'!P50)</f>
        <v>0</v>
      </c>
      <c r="F47" s="612">
        <f>SUM('P P1:P P4'!Q50)</f>
        <v>0</v>
      </c>
      <c r="G47" s="590"/>
    </row>
    <row r="48" spans="2:7" ht="15.75" customHeight="1">
      <c r="B48" s="3730"/>
      <c r="C48" s="610" t="str">
        <f t="shared" si="2"/>
        <v>Abril</v>
      </c>
      <c r="D48" s="611">
        <f>SUM('P P1:P P4'!O51)</f>
        <v>0</v>
      </c>
      <c r="E48" s="611">
        <f>SUM('P P1:P P4'!P51)</f>
        <v>0</v>
      </c>
      <c r="F48" s="612">
        <f>SUM('P P1:P P4'!Q51)</f>
        <v>0</v>
      </c>
      <c r="G48" s="590"/>
    </row>
    <row r="49" spans="2:7" ht="15.75" customHeight="1">
      <c r="B49" s="3730"/>
      <c r="C49" s="610" t="str">
        <f t="shared" si="2"/>
        <v>Mayo</v>
      </c>
      <c r="D49" s="611">
        <f>SUM('P P1:P P4'!O52)</f>
        <v>0</v>
      </c>
      <c r="E49" s="611">
        <f>SUM('P P1:P P4'!P52)</f>
        <v>0</v>
      </c>
      <c r="F49" s="612">
        <f>SUM('P P1:P P4'!Q52)</f>
        <v>0</v>
      </c>
      <c r="G49" s="590"/>
    </row>
    <row r="50" spans="2:7" ht="15.75" customHeight="1">
      <c r="B50" s="3730"/>
      <c r="C50" s="610" t="str">
        <f t="shared" si="2"/>
        <v>Junio</v>
      </c>
      <c r="D50" s="611">
        <f>SUM('P P1:P P4'!O53)</f>
        <v>0</v>
      </c>
      <c r="E50" s="611">
        <f>SUM('P P1:P P4'!P53)</f>
        <v>0</v>
      </c>
      <c r="F50" s="612">
        <f>SUM('P P1:P P4'!Q53)</f>
        <v>0</v>
      </c>
      <c r="G50" s="590"/>
    </row>
    <row r="51" spans="2:7" ht="15.75" customHeight="1">
      <c r="B51" s="3730"/>
      <c r="C51" s="610" t="str">
        <f t="shared" si="2"/>
        <v>Julio</v>
      </c>
      <c r="D51" s="611">
        <f>SUM('P P1:P P4'!O54)</f>
        <v>0</v>
      </c>
      <c r="E51" s="611">
        <f>SUM('P P1:P P4'!P54)</f>
        <v>0</v>
      </c>
      <c r="F51" s="612">
        <f>SUM('P P1:P P4'!Q54)</f>
        <v>0</v>
      </c>
      <c r="G51" s="590"/>
    </row>
    <row r="52" spans="2:7" ht="15.75" customHeight="1">
      <c r="B52" s="3730"/>
      <c r="C52" s="610" t="str">
        <f t="shared" si="2"/>
        <v>Agosto</v>
      </c>
      <c r="D52" s="611">
        <f>SUM('P P1:P P4'!O55)</f>
        <v>0</v>
      </c>
      <c r="E52" s="611">
        <f>SUM('P P1:P P4'!P55)</f>
        <v>0</v>
      </c>
      <c r="F52" s="612">
        <f>SUM('P P1:P P4'!Q55)</f>
        <v>0</v>
      </c>
      <c r="G52" s="590"/>
    </row>
    <row r="53" spans="2:7" ht="15.75" customHeight="1">
      <c r="B53" s="3730"/>
      <c r="C53" s="610" t="str">
        <f t="shared" si="2"/>
        <v>Septiembre</v>
      </c>
      <c r="D53" s="611">
        <f>SUM('P P1:P P4'!O56)</f>
        <v>0</v>
      </c>
      <c r="E53" s="611">
        <f>SUM('P P1:P P4'!P56)</f>
        <v>0</v>
      </c>
      <c r="F53" s="612">
        <f>SUM('P P1:P P4'!Q56)</f>
        <v>0</v>
      </c>
      <c r="G53" s="590"/>
    </row>
    <row r="54" spans="2:7" ht="15.75" customHeight="1">
      <c r="B54" s="3730"/>
      <c r="C54" s="610" t="str">
        <f t="shared" si="2"/>
        <v>Octubre</v>
      </c>
      <c r="D54" s="611">
        <f>SUM('P P1:P P4'!O57)</f>
        <v>0</v>
      </c>
      <c r="E54" s="611">
        <f>SUM('P P1:P P4'!P57)</f>
        <v>0</v>
      </c>
      <c r="F54" s="612">
        <f>SUM('P P1:P P4'!Q57)</f>
        <v>0</v>
      </c>
      <c r="G54" s="590"/>
    </row>
    <row r="55" spans="2:7" ht="15.75" customHeight="1">
      <c r="B55" s="3730"/>
      <c r="C55" s="610" t="str">
        <f t="shared" si="2"/>
        <v>Noviembre</v>
      </c>
      <c r="D55" s="611">
        <f>SUM('P P1:P P4'!O58)</f>
        <v>0</v>
      </c>
      <c r="E55" s="611">
        <f>SUM('P P1:P P4'!P58)</f>
        <v>0</v>
      </c>
      <c r="F55" s="612">
        <f>SUM('P P1:P P4'!Q58)</f>
        <v>0</v>
      </c>
      <c r="G55" s="590"/>
    </row>
    <row r="56" spans="2:7" ht="15.75" customHeight="1" thickBot="1">
      <c r="B56" s="3731"/>
      <c r="C56" s="610" t="str">
        <f t="shared" si="2"/>
        <v>Diciembre</v>
      </c>
      <c r="D56" s="616">
        <f>SUM('P P1:P P4'!O59)</f>
        <v>0</v>
      </c>
      <c r="E56" s="616">
        <f>SUM('P P1:P P4'!P59)</f>
        <v>0</v>
      </c>
      <c r="F56" s="617">
        <f>SUM('P P1:P P4'!Q59)</f>
        <v>0</v>
      </c>
      <c r="G56" s="590"/>
    </row>
    <row r="57" spans="2:7" ht="15.75" customHeight="1">
      <c r="B57" s="3729" t="str">
        <f>"5º ej."&amp;'1.Datos Básicos. Product-Serv'!H11</f>
        <v>5º ej.4</v>
      </c>
      <c r="C57" s="618" t="str">
        <f>C9</f>
        <v>Enero</v>
      </c>
      <c r="D57" s="611">
        <f>SUM('P P1:P P4'!O60)</f>
        <v>0</v>
      </c>
      <c r="E57" s="611">
        <f>SUM('P P1:P P4'!P60)</f>
        <v>0</v>
      </c>
      <c r="F57" s="612">
        <f>SUM('P P1:P P4'!Q60)</f>
        <v>0</v>
      </c>
      <c r="G57" s="590"/>
    </row>
    <row r="58" spans="2:7" ht="15.75" customHeight="1">
      <c r="B58" s="3730"/>
      <c r="C58" s="610" t="str">
        <f>C10</f>
        <v>Febrero</v>
      </c>
      <c r="D58" s="611">
        <f>SUM('P P1:P P4'!O61)</f>
        <v>0</v>
      </c>
      <c r="E58" s="611">
        <f>SUM('P P1:P P4'!P61)</f>
        <v>0</v>
      </c>
      <c r="F58" s="612">
        <f>SUM('P P1:P P4'!Q61)</f>
        <v>0</v>
      </c>
      <c r="G58" s="590"/>
    </row>
    <row r="59" spans="2:7" ht="15.75" customHeight="1">
      <c r="B59" s="3730"/>
      <c r="C59" s="610" t="str">
        <f t="shared" ref="C59:C80" si="3">C11</f>
        <v>Marzo</v>
      </c>
      <c r="D59" s="611">
        <f>SUM('P P1:P P4'!O62)</f>
        <v>0</v>
      </c>
      <c r="E59" s="611">
        <f>SUM('P P1:P P4'!P62)</f>
        <v>0</v>
      </c>
      <c r="F59" s="612">
        <f>SUM('P P1:P P4'!Q62)</f>
        <v>0</v>
      </c>
      <c r="G59" s="590"/>
    </row>
    <row r="60" spans="2:7" ht="15.75" customHeight="1">
      <c r="B60" s="3730"/>
      <c r="C60" s="610" t="str">
        <f t="shared" si="3"/>
        <v>Abril</v>
      </c>
      <c r="D60" s="611">
        <f>SUM('P P1:P P4'!O63)</f>
        <v>0</v>
      </c>
      <c r="E60" s="611">
        <f>SUM('P P1:P P4'!P63)</f>
        <v>0</v>
      </c>
      <c r="F60" s="612">
        <f>SUM('P P1:P P4'!Q63)</f>
        <v>0</v>
      </c>
      <c r="G60" s="590"/>
    </row>
    <row r="61" spans="2:7" ht="15.75" customHeight="1">
      <c r="B61" s="3730"/>
      <c r="C61" s="610" t="str">
        <f t="shared" si="3"/>
        <v>Mayo</v>
      </c>
      <c r="D61" s="611">
        <f>SUM('P P1:P P4'!O64)</f>
        <v>0</v>
      </c>
      <c r="E61" s="611">
        <f>SUM('P P1:P P4'!P64)</f>
        <v>0</v>
      </c>
      <c r="F61" s="612">
        <f>SUM('P P1:P P4'!Q64)</f>
        <v>0</v>
      </c>
      <c r="G61" s="590"/>
    </row>
    <row r="62" spans="2:7" ht="15.75" customHeight="1">
      <c r="B62" s="3730"/>
      <c r="C62" s="610" t="str">
        <f t="shared" si="3"/>
        <v>Junio</v>
      </c>
      <c r="D62" s="611">
        <f>SUM('P P1:P P4'!O65)</f>
        <v>0</v>
      </c>
      <c r="E62" s="611">
        <f>SUM('P P1:P P4'!P65)</f>
        <v>0</v>
      </c>
      <c r="F62" s="612">
        <f>SUM('P P1:P P4'!Q65)</f>
        <v>0</v>
      </c>
      <c r="G62" s="590"/>
    </row>
    <row r="63" spans="2:7" ht="15.75" customHeight="1">
      <c r="B63" s="3730"/>
      <c r="C63" s="610" t="str">
        <f t="shared" si="3"/>
        <v>Julio</v>
      </c>
      <c r="D63" s="611">
        <f>SUM('P P1:P P4'!O66)</f>
        <v>0</v>
      </c>
      <c r="E63" s="611">
        <f>SUM('P P1:P P4'!P66)</f>
        <v>0</v>
      </c>
      <c r="F63" s="612">
        <f>SUM('P P1:P P4'!Q66)</f>
        <v>0</v>
      </c>
      <c r="G63" s="590"/>
    </row>
    <row r="64" spans="2:7" ht="15.75" customHeight="1">
      <c r="B64" s="3730"/>
      <c r="C64" s="610" t="str">
        <f t="shared" si="3"/>
        <v>Agosto</v>
      </c>
      <c r="D64" s="611">
        <f>SUM('P P1:P P4'!O67)</f>
        <v>0</v>
      </c>
      <c r="E64" s="611">
        <f>SUM('P P1:P P4'!P67)</f>
        <v>0</v>
      </c>
      <c r="F64" s="612">
        <f>SUM('P P1:P P4'!Q67)</f>
        <v>0</v>
      </c>
      <c r="G64" s="590"/>
    </row>
    <row r="65" spans="2:7" ht="15.75" customHeight="1">
      <c r="B65" s="3730"/>
      <c r="C65" s="610" t="str">
        <f t="shared" si="3"/>
        <v>Septiembre</v>
      </c>
      <c r="D65" s="611">
        <f>SUM('P P1:P P4'!O68)</f>
        <v>0</v>
      </c>
      <c r="E65" s="611">
        <f>SUM('P P1:P P4'!P68)</f>
        <v>0</v>
      </c>
      <c r="F65" s="612">
        <f>SUM('P P1:P P4'!Q68)</f>
        <v>0</v>
      </c>
      <c r="G65" s="590"/>
    </row>
    <row r="66" spans="2:7" ht="15.75" customHeight="1">
      <c r="B66" s="3730"/>
      <c r="C66" s="610" t="str">
        <f t="shared" si="3"/>
        <v>Octubre</v>
      </c>
      <c r="D66" s="611">
        <f>SUM('P P1:P P4'!O69)</f>
        <v>0</v>
      </c>
      <c r="E66" s="611">
        <f>SUM('P P1:P P4'!P69)</f>
        <v>0</v>
      </c>
      <c r="F66" s="612">
        <f>SUM('P P1:P P4'!Q69)</f>
        <v>0</v>
      </c>
      <c r="G66" s="590"/>
    </row>
    <row r="67" spans="2:7" ht="15.75" customHeight="1">
      <c r="B67" s="3730"/>
      <c r="C67" s="610" t="str">
        <f t="shared" si="3"/>
        <v>Noviembre</v>
      </c>
      <c r="D67" s="611">
        <f>SUM('P P1:P P4'!O70)</f>
        <v>0</v>
      </c>
      <c r="E67" s="611">
        <f>SUM('P P1:P P4'!P70)</f>
        <v>0</v>
      </c>
      <c r="F67" s="612">
        <f>SUM('P P1:P P4'!Q70)</f>
        <v>0</v>
      </c>
      <c r="G67" s="590"/>
    </row>
    <row r="68" spans="2:7" ht="15.75" customHeight="1" thickBot="1">
      <c r="B68" s="3731"/>
      <c r="C68" s="619" t="str">
        <f t="shared" si="3"/>
        <v>Diciembre</v>
      </c>
      <c r="D68" s="621">
        <f>SUM('P P1:P P4'!O71)</f>
        <v>0</v>
      </c>
      <c r="E68" s="621">
        <f>SUM('P P1:P P4'!P71)</f>
        <v>0</v>
      </c>
      <c r="F68" s="622">
        <f>SUM('P P1:P P4'!Q71)</f>
        <v>0</v>
      </c>
      <c r="G68" s="590"/>
    </row>
    <row r="69" spans="2:7" ht="15.75" hidden="1" customHeight="1" thickTop="1">
      <c r="B69" s="3729" t="str">
        <f>"6º ej."&amp;'1.Datos Básicos. Product-Serv'!I11</f>
        <v>6º ej.0</v>
      </c>
      <c r="C69" s="620" t="str">
        <f t="shared" si="3"/>
        <v>Enero</v>
      </c>
      <c r="D69" s="608">
        <f>SUM('P P1:P P4'!O72)</f>
        <v>0</v>
      </c>
      <c r="E69" s="608">
        <f>SUM('P P1:P P4'!P72)</f>
        <v>0</v>
      </c>
      <c r="F69" s="609">
        <f>SUM('P P1:P P4'!Q72)</f>
        <v>0</v>
      </c>
      <c r="G69" s="590"/>
    </row>
    <row r="70" spans="2:7" ht="15.75" hidden="1" customHeight="1">
      <c r="B70" s="3730"/>
      <c r="C70" s="620" t="str">
        <f t="shared" si="3"/>
        <v>Febrero</v>
      </c>
      <c r="D70" s="611">
        <f>SUM('P P1:P P4'!O73)</f>
        <v>0</v>
      </c>
      <c r="E70" s="611">
        <f>SUM('P P1:P P4'!P73)</f>
        <v>0</v>
      </c>
      <c r="F70" s="612">
        <f>SUM('P P1:P P4'!Q73)</f>
        <v>0</v>
      </c>
    </row>
    <row r="71" spans="2:7" hidden="1">
      <c r="B71" s="3730"/>
      <c r="C71" s="620" t="str">
        <f t="shared" si="3"/>
        <v>Marzo</v>
      </c>
      <c r="D71" s="611">
        <f>SUM('P P1:P P4'!O74)</f>
        <v>0</v>
      </c>
      <c r="E71" s="611">
        <f>SUM('P P1:P P4'!P74)</f>
        <v>0</v>
      </c>
      <c r="F71" s="612">
        <f>SUM('P P1:P P4'!Q74)</f>
        <v>0</v>
      </c>
    </row>
    <row r="72" spans="2:7" hidden="1">
      <c r="B72" s="3730"/>
      <c r="C72" s="620" t="str">
        <f t="shared" si="3"/>
        <v>Abril</v>
      </c>
      <c r="D72" s="611">
        <f>SUM('P P1:P P4'!O75)</f>
        <v>0</v>
      </c>
      <c r="E72" s="611">
        <f>SUM('P P1:P P4'!P75)</f>
        <v>0</v>
      </c>
      <c r="F72" s="612">
        <f>SUM('P P1:P P4'!Q75)</f>
        <v>0</v>
      </c>
    </row>
    <row r="73" spans="2:7" hidden="1">
      <c r="B73" s="3730"/>
      <c r="C73" s="620" t="str">
        <f t="shared" si="3"/>
        <v>Mayo</v>
      </c>
      <c r="D73" s="611">
        <f>SUM('P P1:P P4'!O76)</f>
        <v>0</v>
      </c>
      <c r="E73" s="611">
        <f>SUM('P P1:P P4'!P76)</f>
        <v>0</v>
      </c>
      <c r="F73" s="612">
        <f>SUM('P P1:P P4'!Q76)</f>
        <v>0</v>
      </c>
    </row>
    <row r="74" spans="2:7" hidden="1">
      <c r="B74" s="3730"/>
      <c r="C74" s="620" t="str">
        <f t="shared" si="3"/>
        <v>Junio</v>
      </c>
      <c r="D74" s="611">
        <f>SUM('P P1:P P4'!O77)</f>
        <v>0</v>
      </c>
      <c r="E74" s="611">
        <f>SUM('P P1:P P4'!P77)</f>
        <v>0</v>
      </c>
      <c r="F74" s="612">
        <f>SUM('P P1:P P4'!Q77)</f>
        <v>0</v>
      </c>
    </row>
    <row r="75" spans="2:7" hidden="1">
      <c r="B75" s="3730"/>
      <c r="C75" s="620" t="str">
        <f t="shared" si="3"/>
        <v>Julio</v>
      </c>
      <c r="D75" s="611">
        <f>SUM('P P1:P P4'!O78)</f>
        <v>0</v>
      </c>
      <c r="E75" s="611">
        <f>SUM('P P1:P P4'!P78)</f>
        <v>0</v>
      </c>
      <c r="F75" s="612">
        <f>SUM('P P1:P P4'!Q78)</f>
        <v>0</v>
      </c>
    </row>
    <row r="76" spans="2:7" hidden="1">
      <c r="B76" s="3730"/>
      <c r="C76" s="620" t="str">
        <f t="shared" si="3"/>
        <v>Agosto</v>
      </c>
      <c r="D76" s="611">
        <f>SUM('P P1:P P4'!O79)</f>
        <v>0</v>
      </c>
      <c r="E76" s="611">
        <f>SUM('P P1:P P4'!P79)</f>
        <v>0</v>
      </c>
      <c r="F76" s="612">
        <f>SUM('P P1:P P4'!Q79)</f>
        <v>0</v>
      </c>
    </row>
    <row r="77" spans="2:7" ht="15.75" hidden="1" customHeight="1">
      <c r="B77" s="3730"/>
      <c r="C77" s="620" t="str">
        <f t="shared" si="3"/>
        <v>Septiembre</v>
      </c>
      <c r="D77" s="611">
        <f>SUM('P P1:P P4'!O80)</f>
        <v>0</v>
      </c>
      <c r="E77" s="611">
        <f>SUM('P P1:P P4'!P80)</f>
        <v>0</v>
      </c>
      <c r="F77" s="612">
        <f>SUM('P P1:P P4'!Q80)</f>
        <v>0</v>
      </c>
    </row>
    <row r="78" spans="2:7" hidden="1">
      <c r="B78" s="3730"/>
      <c r="C78" s="620" t="str">
        <f t="shared" si="3"/>
        <v>Octubre</v>
      </c>
      <c r="D78" s="611">
        <f>SUM('P P1:P P4'!O81)</f>
        <v>0</v>
      </c>
      <c r="E78" s="611">
        <f>SUM('P P1:P P4'!P81)</f>
        <v>0</v>
      </c>
      <c r="F78" s="612">
        <f>SUM('P P1:P P4'!Q81)</f>
        <v>0</v>
      </c>
    </row>
    <row r="79" spans="2:7" hidden="1">
      <c r="B79" s="3730"/>
      <c r="C79" s="620" t="str">
        <f t="shared" si="3"/>
        <v>Noviembre</v>
      </c>
      <c r="D79" s="611">
        <f>SUM('P P1:P P4'!O82)</f>
        <v>0</v>
      </c>
      <c r="E79" s="611">
        <f>SUM('P P1:P P4'!P82)</f>
        <v>0</v>
      </c>
      <c r="F79" s="612">
        <f>SUM('P P1:P P4'!Q82)</f>
        <v>0</v>
      </c>
    </row>
    <row r="80" spans="2:7" ht="16.5" hidden="1" thickBot="1">
      <c r="B80" s="3731"/>
      <c r="C80" s="619" t="str">
        <f t="shared" si="3"/>
        <v>Diciembre</v>
      </c>
      <c r="D80" s="621">
        <f>SUM('P P1:P P4'!O83)</f>
        <v>0</v>
      </c>
      <c r="E80" s="621">
        <f>SUM('P P1:P P4'!P83)</f>
        <v>0</v>
      </c>
      <c r="F80" s="622">
        <f>SUM('P P1:P P4'!Q83)</f>
        <v>0</v>
      </c>
    </row>
  </sheetData>
  <sheetProtection sheet="1" objects="1" scenarios="1"/>
  <mergeCells count="11">
    <mergeCell ref="I15:I16"/>
    <mergeCell ref="K15:K16"/>
    <mergeCell ref="L15:L16"/>
    <mergeCell ref="B57:B68"/>
    <mergeCell ref="B69:B80"/>
    <mergeCell ref="J15:J16"/>
    <mergeCell ref="B21:B32"/>
    <mergeCell ref="B33:B44"/>
    <mergeCell ref="B45:B56"/>
    <mergeCell ref="B9:B20"/>
    <mergeCell ref="H15:H16"/>
  </mergeCells>
  <dataValidations count="2">
    <dataValidation allowBlank="1" showInputMessage="1" showErrorMessage="1" error="Solo valores enteros comprendidos entre 1 y 5" sqref="F6:F7"/>
    <dataValidation allowBlank="1" showInputMessage="1" sqref="Q12:S16 I18:L22"/>
  </dataValidations>
  <printOptions horizontalCentered="1" verticalCentered="1"/>
  <pageMargins left="0.31496062992125984" right="0.31496062992125984" top="0.55118110236220474" bottom="0.51181102362204722" header="0.31496062992125984" footer="0.31496062992125984"/>
  <pageSetup paperSize="9" scale="55" orientation="portrait" r:id="rId1"/>
  <headerFooter>
    <oddFooter>&amp;A</oddFooter>
  </headerFooter>
  <colBreaks count="1" manualBreakCount="1">
    <brk id="7" max="79"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R80"/>
  <sheetViews>
    <sheetView zoomScale="75" zoomScaleNormal="75" zoomScaleSheetLayoutView="50" workbookViewId="0">
      <selection activeCell="K18" sqref="K18"/>
    </sheetView>
  </sheetViews>
  <sheetFormatPr baseColWidth="10" defaultColWidth="11.1640625" defaultRowHeight="15.75"/>
  <cols>
    <col min="1" max="1" width="15.6640625" style="581" customWidth="1"/>
    <col min="2" max="2" width="5.6640625" style="581" customWidth="1"/>
    <col min="3" max="3" width="17.6640625" style="581" customWidth="1"/>
    <col min="4" max="5" width="19.1640625" style="581" customWidth="1"/>
    <col min="6" max="6" width="20" style="581" customWidth="1"/>
    <col min="7" max="7" width="8.5" style="581" customWidth="1"/>
    <col min="8" max="8" width="29" style="581" customWidth="1"/>
    <col min="9" max="15" width="20.1640625" style="581" customWidth="1"/>
    <col min="16" max="16" width="13.1640625" style="581" customWidth="1"/>
    <col min="17" max="17" width="14.6640625" style="581" customWidth="1"/>
    <col min="18" max="18" width="18.6640625" style="581" hidden="1" customWidth="1"/>
    <col min="19" max="19" width="15.5" style="581" customWidth="1"/>
    <col min="20" max="16384" width="11.1640625" style="581"/>
  </cols>
  <sheetData>
    <row r="1" spans="1:18" ht="15" customHeight="1">
      <c r="A1" s="580" t="str">
        <f>IF('1.Datos Básicos. Product-Serv'!B5=0,"",'1.Datos Básicos. Product-Serv'!B5)</f>
        <v/>
      </c>
      <c r="F1" s="582"/>
      <c r="G1" s="582"/>
    </row>
    <row r="2" spans="1:18" ht="15" customHeight="1">
      <c r="A2" s="580"/>
      <c r="F2" s="582"/>
      <c r="G2" s="582"/>
    </row>
    <row r="3" spans="1:18" ht="15" customHeight="1">
      <c r="C3" s="583"/>
    </row>
    <row r="4" spans="1:18" ht="23.25" customHeight="1">
      <c r="B4" s="1246" t="s">
        <v>469</v>
      </c>
      <c r="C4" s="584"/>
      <c r="D4" s="584"/>
      <c r="E4" s="584"/>
      <c r="F4" s="584"/>
    </row>
    <row r="5" spans="1:18" ht="19.5" customHeight="1"/>
    <row r="6" spans="1:18" ht="25.5" customHeight="1">
      <c r="B6" s="585"/>
      <c r="C6" s="586"/>
      <c r="D6" s="586"/>
      <c r="E6" s="586"/>
      <c r="F6" s="587"/>
    </row>
    <row r="7" spans="1:18" ht="20.100000000000001" customHeight="1" thickBot="1">
      <c r="C7" s="588"/>
      <c r="F7" s="589"/>
    </row>
    <row r="8" spans="1:18" ht="44.25" customHeight="1" thickTop="1" thickBot="1">
      <c r="B8" s="590"/>
      <c r="C8" s="3192" t="s">
        <v>42</v>
      </c>
      <c r="D8" s="3193" t="s">
        <v>14</v>
      </c>
      <c r="E8" s="3193" t="s">
        <v>11</v>
      </c>
      <c r="F8" s="3194" t="s">
        <v>183</v>
      </c>
      <c r="G8" s="590"/>
      <c r="H8" s="3195" t="s">
        <v>233</v>
      </c>
      <c r="I8" s="3192" t="s">
        <v>14</v>
      </c>
      <c r="J8" s="3196" t="s">
        <v>11</v>
      </c>
      <c r="K8" s="3197" t="s">
        <v>183</v>
      </c>
      <c r="L8" s="3198" t="s">
        <v>15</v>
      </c>
      <c r="M8" s="3199" t="s">
        <v>417</v>
      </c>
      <c r="N8" s="3200" t="s">
        <v>418</v>
      </c>
      <c r="O8" s="602"/>
    </row>
    <row r="9" spans="1:18" ht="18" customHeight="1" thickTop="1">
      <c r="B9" s="3729" t="str">
        <f>"1º ej."&amp;'1.Datos Básicos. Product-Serv'!B11</f>
        <v>1º ej.0</v>
      </c>
      <c r="C9" s="607" t="str">
        <f>Enero</f>
        <v>Enero</v>
      </c>
      <c r="D9" s="608">
        <f>SUM('Aux 4.1.1Crédito Inicial 1:Aux 4.5.Crédito 5'!O12)</f>
        <v>0</v>
      </c>
      <c r="E9" s="608">
        <f>SUM('Aux 4.1.1Crédito Inicial 1:Aux 4.5.Crédito 5'!P12)</f>
        <v>0</v>
      </c>
      <c r="F9" s="609">
        <f>SUM('Aux 4.1.1Crédito Inicial 1:Aux 4.5.Crédito 5'!Q12)</f>
        <v>0</v>
      </c>
      <c r="G9" s="590"/>
      <c r="H9" s="1247" t="str">
        <f>"1º ej."&amp;'1.Datos Básicos. Product-Serv'!$B$11</f>
        <v>1º ej.0</v>
      </c>
      <c r="I9" s="623">
        <f>SUM(D9:D20)</f>
        <v>0</v>
      </c>
      <c r="J9" s="624">
        <f>SUM(E9:E20)</f>
        <v>0</v>
      </c>
      <c r="K9" s="624">
        <f>SUM(F9:F20)</f>
        <v>0</v>
      </c>
      <c r="L9" s="625">
        <f>SUM('Aux 4.1.1Crédito Inicial 1:Aux 4.5.Crédito 5'!R3)</f>
        <v>0</v>
      </c>
      <c r="M9" s="634">
        <f>'Aux 4.1.1Crédito Inicial 1'!W11</f>
        <v>0</v>
      </c>
      <c r="N9" s="635">
        <f>'Aux 4.1.1Crédito Inicial 1'!X11</f>
        <v>0</v>
      </c>
      <c r="O9" s="636">
        <f>SUM(M9:N9)</f>
        <v>0</v>
      </c>
    </row>
    <row r="10" spans="1:18" s="594" customFormat="1">
      <c r="B10" s="3730"/>
      <c r="C10" s="610" t="str">
        <f>'2.Ventas y Cobros (Ej 1º,2º)'!E8</f>
        <v>Febrero</v>
      </c>
      <c r="D10" s="611">
        <f>SUM('Aux 4.1.1Crédito Inicial 1:Aux 4.5.Crédito 5'!O13)</f>
        <v>0</v>
      </c>
      <c r="E10" s="611">
        <f>SUM('Aux 4.1.1Crédito Inicial 1:Aux 4.5.Crédito 5'!P13)</f>
        <v>0</v>
      </c>
      <c r="F10" s="612">
        <f>SUM('Aux 4.1.1Crédito Inicial 1:Aux 4.5.Crédito 5'!Q13)</f>
        <v>0</v>
      </c>
      <c r="G10" s="595"/>
      <c r="H10" s="1249" t="str">
        <f>"2º ej."&amp;'1.Datos Básicos. Product-Serv'!E11</f>
        <v>2º ej.1</v>
      </c>
      <c r="I10" s="1250">
        <f>SUM(D21:D32)</f>
        <v>0</v>
      </c>
      <c r="J10" s="1251">
        <f>SUM(E21:E32)</f>
        <v>0</v>
      </c>
      <c r="K10" s="1251">
        <f>SUM(F21:F32)</f>
        <v>0</v>
      </c>
      <c r="L10" s="1252">
        <f>SUM('Aux 4.1.1Crédito Inicial 1:Aux 4.5.Crédito 5'!R4)</f>
        <v>0</v>
      </c>
      <c r="M10" s="1253">
        <f>'Aux 4.1.1Crédito Inicial 1'!W12</f>
        <v>0</v>
      </c>
      <c r="N10" s="1254">
        <f>'Aux 4.1.1Crédito Inicial 1'!X12</f>
        <v>0</v>
      </c>
      <c r="O10" s="636">
        <f>SUM(M10:N10)</f>
        <v>0</v>
      </c>
    </row>
    <row r="11" spans="1:18" ht="15.75" customHeight="1">
      <c r="B11" s="3730"/>
      <c r="C11" s="610" t="str">
        <f>'2.Ventas y Cobros (Ej 1º,2º)'!F8</f>
        <v>Marzo</v>
      </c>
      <c r="D11" s="611">
        <f>SUM('Aux 4.1.1Crédito Inicial 1:Aux 4.5.Crédito 5'!O14)</f>
        <v>0</v>
      </c>
      <c r="E11" s="611">
        <f>SUM('Aux 4.1.1Crédito Inicial 1:Aux 4.5.Crédito 5'!P14)</f>
        <v>0</v>
      </c>
      <c r="F11" s="612">
        <f>SUM('Aux 4.1.1Crédito Inicial 1:Aux 4.5.Crédito 5'!Q14)</f>
        <v>0</v>
      </c>
      <c r="G11" s="590"/>
      <c r="H11" s="1249" t="str">
        <f>"3º ej."&amp;'1.Datos Básicos. Product-Serv'!F11</f>
        <v>3º ej.2</v>
      </c>
      <c r="I11" s="1250">
        <f>SUM(D33:D44)</f>
        <v>0</v>
      </c>
      <c r="J11" s="1251">
        <f>SUM(E33:E44)</f>
        <v>0</v>
      </c>
      <c r="K11" s="1251">
        <f>SUM(F33:F44)</f>
        <v>0</v>
      </c>
      <c r="L11" s="1252">
        <f>SUM('Aux 4.1.1Crédito Inicial 1:Aux 4.5.Crédito 5'!R5)</f>
        <v>0</v>
      </c>
      <c r="M11" s="1253">
        <f>'Aux 4.1.1Crédito Inicial 1'!W13</f>
        <v>0</v>
      </c>
      <c r="N11" s="1254">
        <f>'Aux 4.1.1Crédito Inicial 1'!X13</f>
        <v>0</v>
      </c>
      <c r="O11" s="636">
        <f>SUM(M11:N11)</f>
        <v>0</v>
      </c>
    </row>
    <row r="12" spans="1:18" ht="15.75" customHeight="1">
      <c r="B12" s="3730"/>
      <c r="C12" s="610" t="str">
        <f>'2.Ventas y Cobros (Ej 1º,2º)'!G8</f>
        <v>Abril</v>
      </c>
      <c r="D12" s="611">
        <f>SUM('Aux 4.1.1Crédito Inicial 1:Aux 4.5.Crédito 5'!O15)</f>
        <v>0</v>
      </c>
      <c r="E12" s="611">
        <f>SUM('Aux 4.1.1Crédito Inicial 1:Aux 4.5.Crédito 5'!P15)</f>
        <v>0</v>
      </c>
      <c r="F12" s="612">
        <f>SUM('Aux 4.1.1Crédito Inicial 1:Aux 4.5.Crédito 5'!Q15)</f>
        <v>0</v>
      </c>
      <c r="G12" s="590"/>
      <c r="H12" s="1249" t="str">
        <f>"4º ej."&amp;'1.Datos Básicos. Product-Serv'!G11</f>
        <v>4º ej.3</v>
      </c>
      <c r="I12" s="1250">
        <f>SUM(D45:D56)</f>
        <v>0</v>
      </c>
      <c r="J12" s="1251">
        <f>SUM(E45:E56)</f>
        <v>0</v>
      </c>
      <c r="K12" s="1251">
        <f>SUM(F45:F56)</f>
        <v>0</v>
      </c>
      <c r="L12" s="1252">
        <f>SUM('Aux 4.1.1Crédito Inicial 1:Aux 4.5.Crédito 5'!R6)</f>
        <v>0</v>
      </c>
      <c r="M12" s="1253">
        <f>'Aux 4.1.1Crédito Inicial 1'!W14</f>
        <v>0</v>
      </c>
      <c r="N12" s="1254">
        <f>'Aux 4.1.1Crédito Inicial 1'!X14</f>
        <v>0</v>
      </c>
      <c r="O12" s="636">
        <f>SUM(M12:N12)</f>
        <v>0</v>
      </c>
    </row>
    <row r="13" spans="1:18" ht="15.75" customHeight="1" thickBot="1">
      <c r="B13" s="3730"/>
      <c r="C13" s="610" t="str">
        <f>'2.Ventas y Cobros (Ej 1º,2º)'!H8</f>
        <v>Mayo</v>
      </c>
      <c r="D13" s="611">
        <f>SUM('Aux 4.1.1Crédito Inicial 1:Aux 4.5.Crédito 5'!O16)</f>
        <v>0</v>
      </c>
      <c r="E13" s="611">
        <f>SUM('Aux 4.1.1Crédito Inicial 1:Aux 4.5.Crédito 5'!P16)</f>
        <v>0</v>
      </c>
      <c r="F13" s="612">
        <f>SUM('Aux 4.1.1Crédito Inicial 1:Aux 4.5.Crédito 5'!Q16)</f>
        <v>0</v>
      </c>
      <c r="G13" s="590"/>
      <c r="H13" s="1248" t="str">
        <f>"5º ej."&amp;'1.Datos Básicos. Product-Serv'!H11</f>
        <v>5º ej.4</v>
      </c>
      <c r="I13" s="627">
        <f>SUM(D57:D68)</f>
        <v>0</v>
      </c>
      <c r="J13" s="628">
        <f>SUM(E57:E68)</f>
        <v>0</v>
      </c>
      <c r="K13" s="628">
        <f>SUM(F57:F68)</f>
        <v>0</v>
      </c>
      <c r="L13" s="1106">
        <f>SUM('Aux 4.1.1Crédito Inicial 1:Aux 4.5.Crédito 5'!R7)</f>
        <v>0</v>
      </c>
      <c r="M13" s="1107">
        <f>'Aux 4.1.1Crédito Inicial 1'!W15</f>
        <v>0</v>
      </c>
      <c r="N13" s="1108">
        <f>'Aux 4.1.1Crédito Inicial 1'!X15</f>
        <v>0</v>
      </c>
      <c r="O13" s="636">
        <f>SUM(M13:N13)</f>
        <v>0</v>
      </c>
    </row>
    <row r="14" spans="1:18" ht="15.75" customHeight="1" thickTop="1" thickBot="1">
      <c r="B14" s="3730"/>
      <c r="C14" s="610" t="str">
        <f>'2.Ventas y Cobros (Ej 1º,2º)'!I8</f>
        <v>Junio</v>
      </c>
      <c r="D14" s="611">
        <f>SUM('Aux 4.1.1Crédito Inicial 1:Aux 4.5.Crédito 5'!O17)</f>
        <v>0</v>
      </c>
      <c r="E14" s="611">
        <f>SUM('Aux 4.1.1Crédito Inicial 1:Aux 4.5.Crédito 5'!P17)</f>
        <v>0</v>
      </c>
      <c r="F14" s="612">
        <f>SUM('Aux 4.1.1Crédito Inicial 1:Aux 4.5.Crédito 5'!Q17)</f>
        <v>0</v>
      </c>
      <c r="G14" s="590"/>
      <c r="H14" s="630"/>
      <c r="I14" s="1094">
        <f>SUM(D69:D80)</f>
        <v>0</v>
      </c>
      <c r="J14" s="1094">
        <f>SUM(E69:E80)</f>
        <v>0</v>
      </c>
      <c r="K14" s="1095">
        <f>SUM(F69:F80)</f>
        <v>0</v>
      </c>
      <c r="L14" s="1095">
        <f>SUM('Aux.4.0.Leasing Inicial:Aux 4.5.Leasing 5'!R8)</f>
        <v>0</v>
      </c>
      <c r="M14" s="1275"/>
      <c r="N14" s="1276"/>
      <c r="O14" s="1276"/>
    </row>
    <row r="15" spans="1:18" ht="17.25" customHeight="1" thickTop="1">
      <c r="B15" s="3730"/>
      <c r="C15" s="610" t="str">
        <f>'2.Ventas y Cobros (Ej 1º,2º)'!J8</f>
        <v>Julio</v>
      </c>
      <c r="D15" s="611">
        <f>SUM('Aux 4.1.1Crédito Inicial 1:Aux 4.5.Crédito 5'!O18)</f>
        <v>0</v>
      </c>
      <c r="E15" s="611">
        <f>SUM('Aux 4.1.1Crédito Inicial 1:Aux 4.5.Crédito 5'!P18)</f>
        <v>0</v>
      </c>
      <c r="F15" s="612">
        <f>SUM('Aux 4.1.1Crédito Inicial 1:Aux 4.5.Crédito 5'!Q18)</f>
        <v>0</v>
      </c>
      <c r="G15" s="590"/>
      <c r="H15" s="3741" t="s">
        <v>85</v>
      </c>
      <c r="I15" s="3735"/>
      <c r="J15" s="3725" t="str">
        <f>IF('1.Datos Básicos. Product-Serv'!B19="SI","2. Valor a Final Ejerc. "&amp;Año_Com_Ejerc_0,"Crowdlending y Préstamo Inicio 1º ejerc.")</f>
        <v>Crowdlending y Préstamo Inicio 1º ejerc.</v>
      </c>
      <c r="K15" s="3727" t="str">
        <f>"1º ejerc."&amp;'1.Datos Básicos. Product-Serv'!B11</f>
        <v>1º ejerc.0</v>
      </c>
      <c r="L15" s="3727" t="str">
        <f>"2º ejerc."&amp;'1.Datos Básicos. Product-Serv'!E11</f>
        <v>2º ejerc.1</v>
      </c>
      <c r="M15" s="3739" t="str">
        <f>"3º ejerc."&amp;'1.Datos Básicos. Product-Serv'!F11</f>
        <v>3º ejerc.2</v>
      </c>
      <c r="N15" s="3727" t="str">
        <f>"4º ejerc."&amp;'1.Datos Básicos. Product-Serv'!G11</f>
        <v>4º ejerc.3</v>
      </c>
      <c r="O15" s="3739" t="str">
        <f>"5º ejerc."&amp;'1.Datos Básicos. Product-Serv'!H11</f>
        <v>5º ejerc.4</v>
      </c>
      <c r="Q15" s="1271"/>
      <c r="R15" s="3737" t="str">
        <f>IF('1.Datos Básicos. Product-Serv'!B19="SI","1. Valor a Final Ejerc. "&amp;Año_Com_Ejerc_0,"Prestamo Inicio 1º ej.")</f>
        <v>Prestamo Inicio 1º ej.</v>
      </c>
    </row>
    <row r="16" spans="1:18" ht="27" customHeight="1" thickBot="1">
      <c r="B16" s="3730"/>
      <c r="C16" s="610" t="str">
        <f>'2.Ventas y Cobros (Ej 1º,2º)'!K8</f>
        <v>Agosto</v>
      </c>
      <c r="D16" s="611">
        <f>SUM('Aux 4.1.1Crédito Inicial 1:Aux 4.5.Crédito 5'!O19)</f>
        <v>0</v>
      </c>
      <c r="E16" s="611">
        <f>SUM('Aux 4.1.1Crédito Inicial 1:Aux 4.5.Crédito 5'!P19)</f>
        <v>0</v>
      </c>
      <c r="F16" s="612">
        <f>SUM('Aux 4.1.1Crédito Inicial 1:Aux 4.5.Crédito 5'!Q19)</f>
        <v>0</v>
      </c>
      <c r="G16" s="590"/>
      <c r="H16" s="3742"/>
      <c r="I16" s="3736"/>
      <c r="J16" s="3726"/>
      <c r="K16" s="3734"/>
      <c r="L16" s="3734"/>
      <c r="M16" s="3740"/>
      <c r="N16" s="3734"/>
      <c r="O16" s="3740"/>
      <c r="Q16" s="1271"/>
      <c r="R16" s="3738"/>
    </row>
    <row r="17" spans="2:18" ht="15.75" customHeight="1" thickTop="1">
      <c r="B17" s="3730"/>
      <c r="C17" s="610" t="str">
        <f>'2.Ventas y Cobros (Ej 1º,2º)'!L8</f>
        <v>Septiembre</v>
      </c>
      <c r="D17" s="611">
        <f>SUM('Aux 4.1.1Crédito Inicial 1:Aux 4.5.Crédito 5'!O20)</f>
        <v>0</v>
      </c>
      <c r="E17" s="611">
        <f>SUM('Aux 4.1.1Crédito Inicial 1:Aux 4.5.Crédito 5'!P20)</f>
        <v>0</v>
      </c>
      <c r="F17" s="612">
        <f>SUM('Aux 4.1.1Crédito Inicial 1:Aux 4.5.Crédito 5'!Q20)</f>
        <v>0</v>
      </c>
      <c r="G17" s="590"/>
      <c r="H17" s="653" t="s">
        <v>470</v>
      </c>
      <c r="I17" s="1297"/>
      <c r="J17" s="604">
        <f>'(0) 1b. Pasivos de Partida'!B20</f>
        <v>0</v>
      </c>
      <c r="K17" s="605">
        <f>'7. Plan Invers-Financ (1º,2º)'!AA61+'7. Plan Invers-Financ (1º,2º)'!AA49</f>
        <v>0</v>
      </c>
      <c r="L17" s="605">
        <f>'7. Plan Invers-Financ (1º,2º)'!AL61+'7. Plan Invers-Financ (1º,2º)'!AL49</f>
        <v>0</v>
      </c>
      <c r="M17" s="606">
        <f>'7. Plan Invers-Financ (1º,2º)'!AV61+'7. Plan Invers-Financ (1º,2º)'!AV49</f>
        <v>0</v>
      </c>
      <c r="N17" s="605">
        <f>'7. Plan Invers-Financ (1º,2º)'!AY61+'7. Plan Invers-Financ (1º,2º)'!AY49</f>
        <v>0</v>
      </c>
      <c r="O17" s="606">
        <f>'7. Plan Invers-Financ (1º,2º)'!BB61+'7. Plan Invers-Financ (1º,2º)'!BB49</f>
        <v>0</v>
      </c>
      <c r="R17" s="1351">
        <f>'(0) 1b. Pasivos de Partida'!B19</f>
        <v>0</v>
      </c>
    </row>
    <row r="18" spans="2:18" ht="15.75" customHeight="1">
      <c r="B18" s="3730"/>
      <c r="C18" s="610" t="str">
        <f>'2.Ventas y Cobros (Ej 1º,2º)'!M8</f>
        <v>Octubre</v>
      </c>
      <c r="D18" s="611">
        <f>SUM('Aux 4.1.1Crédito Inicial 1:Aux 4.5.Crédito 5'!O21)</f>
        <v>0</v>
      </c>
      <c r="E18" s="611">
        <f>SUM('Aux 4.1.1Crédito Inicial 1:Aux 4.5.Crédito 5'!P21)</f>
        <v>0</v>
      </c>
      <c r="F18" s="612">
        <f>SUM('Aux 4.1.1Crédito Inicial 1:Aux 4.5.Crédito 5'!Q21)</f>
        <v>0</v>
      </c>
      <c r="G18" s="590"/>
      <c r="H18" s="653" t="s">
        <v>9</v>
      </c>
      <c r="I18" s="1297"/>
      <c r="J18" s="2525">
        <f>'7. Plan Invers-Financ (1º,2º)'!Q38</f>
        <v>0.05</v>
      </c>
      <c r="K18" s="2615">
        <f>'7. Plan Invers-Financ (1º,2º)'!AD20</f>
        <v>0.05</v>
      </c>
      <c r="L18" s="2615">
        <f>'7. Plan Invers-Financ (1º,2º)'!AO20</f>
        <v>0.05</v>
      </c>
      <c r="M18" s="2515">
        <v>0.05</v>
      </c>
      <c r="N18" s="2514">
        <v>0.05</v>
      </c>
      <c r="O18" s="2515">
        <v>0.05</v>
      </c>
      <c r="R18" s="1294">
        <v>0.05</v>
      </c>
    </row>
    <row r="19" spans="2:18" ht="15.75" customHeight="1">
      <c r="B19" s="3730"/>
      <c r="C19" s="610" t="str">
        <f>'2.Ventas y Cobros (Ej 1º,2º)'!N8</f>
        <v>Noviembre</v>
      </c>
      <c r="D19" s="611">
        <f>SUM('Aux 4.1.1Crédito Inicial 1:Aux 4.5.Crédito 5'!O22)</f>
        <v>0</v>
      </c>
      <c r="E19" s="611">
        <f>SUM('Aux 4.1.1Crédito Inicial 1:Aux 4.5.Crédito 5'!P22)</f>
        <v>0</v>
      </c>
      <c r="F19" s="612">
        <f>SUM('Aux 4.1.1Crédito Inicial 1:Aux 4.5.Crédito 5'!Q22)</f>
        <v>0</v>
      </c>
      <c r="G19" s="590"/>
      <c r="H19" s="653" t="str">
        <f>IF(Consolidación?="SI","Años Restantes","Años")</f>
        <v>Años</v>
      </c>
      <c r="I19" s="1297"/>
      <c r="J19" s="2526">
        <f>'7. Plan Invers-Financ (1º,2º)'!R38</f>
        <v>5</v>
      </c>
      <c r="K19" s="2616">
        <f>'7. Plan Invers-Financ (1º,2º)'!AE20</f>
        <v>4</v>
      </c>
      <c r="L19" s="2616">
        <f>'7. Plan Invers-Financ (1º,2º)'!AP20</f>
        <v>4</v>
      </c>
      <c r="M19" s="2517">
        <v>5</v>
      </c>
      <c r="N19" s="2516">
        <v>5</v>
      </c>
      <c r="O19" s="2517">
        <v>5</v>
      </c>
      <c r="R19" s="1295">
        <v>5</v>
      </c>
    </row>
    <row r="20" spans="2:18" ht="15.75" customHeight="1" thickBot="1">
      <c r="B20" s="3731"/>
      <c r="C20" s="613" t="str">
        <f>'2.Ventas y Cobros (Ej 1º,2º)'!O8</f>
        <v>Diciembre</v>
      </c>
      <c r="D20" s="616">
        <f>SUM('Aux 4.1.1Crédito Inicial 1:Aux 4.5.Crédito 5'!O23)</f>
        <v>0</v>
      </c>
      <c r="E20" s="616">
        <f>SUM('Aux 4.1.1Crédito Inicial 1:Aux 4.5.Crédito 5'!P23)</f>
        <v>0</v>
      </c>
      <c r="F20" s="617">
        <f>SUM('Aux 4.1.1Crédito Inicial 1:Aux 4.5.Crédito 5'!Q23)</f>
        <v>0</v>
      </c>
      <c r="G20" s="632"/>
      <c r="H20" s="653" t="s">
        <v>218</v>
      </c>
      <c r="I20" s="1297"/>
      <c r="J20" s="2526">
        <f>'7. Plan Invers-Financ (1º,2º)'!S38</f>
        <v>12</v>
      </c>
      <c r="K20" s="2616">
        <f>'7. Plan Invers-Financ (1º,2º)'!AF20</f>
        <v>12</v>
      </c>
      <c r="L20" s="2616">
        <f>'7. Plan Invers-Financ (1º,2º)'!AQ20</f>
        <v>12</v>
      </c>
      <c r="M20" s="2517">
        <v>12</v>
      </c>
      <c r="N20" s="2516">
        <v>12</v>
      </c>
      <c r="O20" s="2517">
        <v>12</v>
      </c>
      <c r="R20" s="1295">
        <v>12</v>
      </c>
    </row>
    <row r="21" spans="2:18" ht="15.75" customHeight="1">
      <c r="B21" s="3729" t="str">
        <f>"2º ej."&amp;'1.Datos Básicos. Product-Serv'!E11</f>
        <v>2º ej.1</v>
      </c>
      <c r="C21" s="610" t="str">
        <f>C9</f>
        <v>Enero</v>
      </c>
      <c r="D21" s="611">
        <f>SUM('Aux 4.1.1Crédito Inicial 1:Aux 4.5.Crédito 5'!O24)</f>
        <v>0</v>
      </c>
      <c r="E21" s="611">
        <f>SUM('Aux 4.1.1Crédito Inicial 1:Aux 4.5.Crédito 5'!P24)</f>
        <v>0</v>
      </c>
      <c r="F21" s="612">
        <f>SUM('Aux 4.1.1Crédito Inicial 1:Aux 4.5.Crédito 5'!Q24)</f>
        <v>0</v>
      </c>
      <c r="G21" s="590"/>
      <c r="H21" s="1165" t="s">
        <v>97</v>
      </c>
      <c r="I21" s="1298"/>
      <c r="J21" s="2526">
        <f>'7. Plan Invers-Financ (1º,2º)'!T38</f>
        <v>0</v>
      </c>
      <c r="K21" s="2616">
        <f>'7. Plan Invers-Financ (1º,2º)'!AG20</f>
        <v>0</v>
      </c>
      <c r="L21" s="2616">
        <f>'7. Plan Invers-Financ (1º,2º)'!AR20</f>
        <v>0</v>
      </c>
      <c r="M21" s="2517">
        <v>0</v>
      </c>
      <c r="N21" s="2516">
        <v>0</v>
      </c>
      <c r="O21" s="2517">
        <v>0</v>
      </c>
      <c r="R21" s="1295">
        <v>0</v>
      </c>
    </row>
    <row r="22" spans="2:18" ht="15.75" customHeight="1" thickBot="1">
      <c r="B22" s="3730"/>
      <c r="C22" s="610" t="str">
        <f>C10</f>
        <v>Febrero</v>
      </c>
      <c r="D22" s="611">
        <f>SUM('Aux 4.1.1Crédito Inicial 1:Aux 4.5.Crédito 5'!O25)</f>
        <v>0</v>
      </c>
      <c r="E22" s="611">
        <f>SUM('Aux 4.1.1Crédito Inicial 1:Aux 4.5.Crédito 5'!P25)</f>
        <v>0</v>
      </c>
      <c r="F22" s="612">
        <f>SUM('Aux 4.1.1Crédito Inicial 1:Aux 4.5.Crédito 5'!Q25)</f>
        <v>0</v>
      </c>
      <c r="G22" s="590"/>
      <c r="H22" s="655" t="s">
        <v>224</v>
      </c>
      <c r="I22" s="1299"/>
      <c r="J22" s="2527">
        <f>'7. Plan Invers-Financ (1º,2º)'!U38</f>
        <v>0</v>
      </c>
      <c r="K22" s="2617">
        <f>'7. Plan Invers-Financ (1º,2º)'!AH20</f>
        <v>0</v>
      </c>
      <c r="L22" s="2617">
        <f>'7. Plan Invers-Financ (1º,2º)'!AS20</f>
        <v>0</v>
      </c>
      <c r="M22" s="2519">
        <v>0</v>
      </c>
      <c r="N22" s="2518">
        <v>0</v>
      </c>
      <c r="O22" s="2519">
        <v>0</v>
      </c>
      <c r="R22" s="1296">
        <v>0</v>
      </c>
    </row>
    <row r="23" spans="2:18" ht="15.75" customHeight="1" thickTop="1">
      <c r="B23" s="3730"/>
      <c r="C23" s="610" t="str">
        <f t="shared" ref="C23:C32" si="0">C11</f>
        <v>Marzo</v>
      </c>
      <c r="D23" s="611">
        <f>SUM('Aux 4.1.1Crédito Inicial 1:Aux 4.5.Crédito 5'!O26)</f>
        <v>0</v>
      </c>
      <c r="E23" s="611">
        <f>SUM('Aux 4.1.1Crédito Inicial 1:Aux 4.5.Crédito 5'!P26)</f>
        <v>0</v>
      </c>
      <c r="F23" s="612">
        <f>SUM('Aux 4.1.1Crédito Inicial 1:Aux 4.5.Crédito 5'!Q26)</f>
        <v>0</v>
      </c>
      <c r="G23" s="590"/>
      <c r="H23" s="590"/>
      <c r="J23" s="602"/>
      <c r="K23" s="590"/>
      <c r="L23" s="602"/>
      <c r="M23" s="602"/>
      <c r="R23" s="1293" t="s">
        <v>522</v>
      </c>
    </row>
    <row r="24" spans="2:18" ht="15.75" customHeight="1">
      <c r="B24" s="3730"/>
      <c r="C24" s="610" t="str">
        <f t="shared" si="0"/>
        <v>Abril</v>
      </c>
      <c r="D24" s="611">
        <f>SUM('Aux 4.1.1Crédito Inicial 1:Aux 4.5.Crédito 5'!O27)</f>
        <v>0</v>
      </c>
      <c r="E24" s="611">
        <f>SUM('Aux 4.1.1Crédito Inicial 1:Aux 4.5.Crédito 5'!P27)</f>
        <v>0</v>
      </c>
      <c r="F24" s="612">
        <f>SUM('Aux 4.1.1Crédito Inicial 1:Aux 4.5.Crédito 5'!Q27)</f>
        <v>0</v>
      </c>
      <c r="G24" s="590"/>
      <c r="H24" s="603" t="s">
        <v>489</v>
      </c>
    </row>
    <row r="25" spans="2:18" ht="15.75" customHeight="1">
      <c r="B25" s="3730"/>
      <c r="C25" s="610" t="str">
        <f t="shared" si="0"/>
        <v>Mayo</v>
      </c>
      <c r="D25" s="611">
        <f>SUM('Aux 4.1.1Crédito Inicial 1:Aux 4.5.Crédito 5'!O28)</f>
        <v>0</v>
      </c>
      <c r="E25" s="611">
        <f>SUM('Aux 4.1.1Crédito Inicial 1:Aux 4.5.Crédito 5'!P28)</f>
        <v>0</v>
      </c>
      <c r="F25" s="612">
        <f>SUM('Aux 4.1.1Crédito Inicial 1:Aux 4.5.Crédito 5'!Q28)</f>
        <v>0</v>
      </c>
      <c r="G25" s="590"/>
      <c r="H25" s="603" t="s">
        <v>488</v>
      </c>
    </row>
    <row r="26" spans="2:18" ht="15.75" customHeight="1">
      <c r="B26" s="3730"/>
      <c r="C26" s="610" t="str">
        <f t="shared" si="0"/>
        <v>Junio</v>
      </c>
      <c r="D26" s="611">
        <f>SUM('Aux 4.1.1Crédito Inicial 1:Aux 4.5.Crédito 5'!O29)</f>
        <v>0</v>
      </c>
      <c r="E26" s="611">
        <f>SUM('Aux 4.1.1Crédito Inicial 1:Aux 4.5.Crédito 5'!P29)</f>
        <v>0</v>
      </c>
      <c r="F26" s="612">
        <f>SUM('Aux 4.1.1Crédito Inicial 1:Aux 4.5.Crédito 5'!Q29)</f>
        <v>0</v>
      </c>
      <c r="G26" s="590"/>
      <c r="H26" s="345"/>
    </row>
    <row r="27" spans="2:18" ht="15.75" customHeight="1">
      <c r="B27" s="3730"/>
      <c r="C27" s="610" t="str">
        <f t="shared" si="0"/>
        <v>Julio</v>
      </c>
      <c r="D27" s="611">
        <f>SUM('Aux 4.1.1Crédito Inicial 1:Aux 4.5.Crédito 5'!O30)</f>
        <v>0</v>
      </c>
      <c r="E27" s="611">
        <f>SUM('Aux 4.1.1Crédito Inicial 1:Aux 4.5.Crédito 5'!P30)</f>
        <v>0</v>
      </c>
      <c r="F27" s="612">
        <f>SUM('Aux 4.1.1Crédito Inicial 1:Aux 4.5.Crédito 5'!Q30)</f>
        <v>0</v>
      </c>
      <c r="G27" s="590"/>
      <c r="H27" s="603"/>
    </row>
    <row r="28" spans="2:18" ht="15.75" customHeight="1">
      <c r="B28" s="3730"/>
      <c r="C28" s="610" t="str">
        <f t="shared" si="0"/>
        <v>Agosto</v>
      </c>
      <c r="D28" s="611">
        <f>SUM('Aux 4.1.1Crédito Inicial 1:Aux 4.5.Crédito 5'!O31)</f>
        <v>0</v>
      </c>
      <c r="E28" s="611">
        <f>SUM('Aux 4.1.1Crédito Inicial 1:Aux 4.5.Crédito 5'!P31)</f>
        <v>0</v>
      </c>
      <c r="F28" s="612">
        <f>SUM('Aux 4.1.1Crédito Inicial 1:Aux 4.5.Crédito 5'!Q31)</f>
        <v>0</v>
      </c>
      <c r="G28" s="590"/>
      <c r="H28" s="603"/>
    </row>
    <row r="29" spans="2:18" ht="15.75" customHeight="1">
      <c r="B29" s="3730"/>
      <c r="C29" s="610" t="str">
        <f t="shared" si="0"/>
        <v>Septiembre</v>
      </c>
      <c r="D29" s="611">
        <f>SUM('Aux 4.1.1Crédito Inicial 1:Aux 4.5.Crédito 5'!O32)</f>
        <v>0</v>
      </c>
      <c r="E29" s="611">
        <f>SUM('Aux 4.1.1Crédito Inicial 1:Aux 4.5.Crédito 5'!P32)</f>
        <v>0</v>
      </c>
      <c r="F29" s="612">
        <f>SUM('Aux 4.1.1Crédito Inicial 1:Aux 4.5.Crédito 5'!Q32)</f>
        <v>0</v>
      </c>
      <c r="G29" s="590"/>
    </row>
    <row r="30" spans="2:18" ht="15.75" customHeight="1">
      <c r="B30" s="3730"/>
      <c r="C30" s="610" t="str">
        <f t="shared" si="0"/>
        <v>Octubre</v>
      </c>
      <c r="D30" s="611">
        <f>SUM('Aux 4.1.1Crédito Inicial 1:Aux 4.5.Crédito 5'!O33)</f>
        <v>0</v>
      </c>
      <c r="E30" s="611">
        <f>SUM('Aux 4.1.1Crédito Inicial 1:Aux 4.5.Crédito 5'!P33)</f>
        <v>0</v>
      </c>
      <c r="F30" s="612">
        <f>SUM('Aux 4.1.1Crédito Inicial 1:Aux 4.5.Crédito 5'!Q33)</f>
        <v>0</v>
      </c>
      <c r="G30" s="590"/>
    </row>
    <row r="31" spans="2:18" ht="15.75" customHeight="1">
      <c r="B31" s="3730"/>
      <c r="C31" s="610" t="str">
        <f t="shared" si="0"/>
        <v>Noviembre</v>
      </c>
      <c r="D31" s="611">
        <f>SUM('Aux 4.1.1Crédito Inicial 1:Aux 4.5.Crédito 5'!O34)</f>
        <v>0</v>
      </c>
      <c r="E31" s="611">
        <f>SUM('Aux 4.1.1Crédito Inicial 1:Aux 4.5.Crédito 5'!P34)</f>
        <v>0</v>
      </c>
      <c r="F31" s="612">
        <f>SUM('Aux 4.1.1Crédito Inicial 1:Aux 4.5.Crédito 5'!Q34)</f>
        <v>0</v>
      </c>
      <c r="G31" s="590"/>
    </row>
    <row r="32" spans="2:18" ht="15.75" customHeight="1" thickBot="1">
      <c r="B32" s="3731"/>
      <c r="C32" s="610" t="str">
        <f t="shared" si="0"/>
        <v>Diciembre</v>
      </c>
      <c r="D32" s="616">
        <f>SUM('Aux 4.1.1Crédito Inicial 1:Aux 4.5.Crédito 5'!O35)</f>
        <v>0</v>
      </c>
      <c r="E32" s="616">
        <f>SUM('Aux 4.1.1Crédito Inicial 1:Aux 4.5.Crédito 5'!P35)</f>
        <v>0</v>
      </c>
      <c r="F32" s="617">
        <f>SUM('Aux 4.1.1Crédito Inicial 1:Aux 4.5.Crédito 5'!Q35)</f>
        <v>0</v>
      </c>
      <c r="G32" s="632"/>
    </row>
    <row r="33" spans="2:7" ht="15.75" customHeight="1">
      <c r="B33" s="3729" t="str">
        <f>"3º ej."&amp;'1.Datos Básicos. Product-Serv'!F11</f>
        <v>3º ej.2</v>
      </c>
      <c r="C33" s="618" t="str">
        <f>C9</f>
        <v>Enero</v>
      </c>
      <c r="D33" s="611">
        <f>SUM('Aux 4.1.1Crédito Inicial 1:Aux 4.5.Crédito 5'!O36)</f>
        <v>0</v>
      </c>
      <c r="E33" s="611">
        <f>SUM('Aux 4.1.1Crédito Inicial 1:Aux 4.5.Crédito 5'!P36)</f>
        <v>0</v>
      </c>
      <c r="F33" s="612">
        <f>SUM('Aux 4.1.1Crédito Inicial 1:Aux 4.5.Crédito 5'!Q36)</f>
        <v>0</v>
      </c>
      <c r="G33" s="590"/>
    </row>
    <row r="34" spans="2:7" ht="15.75" customHeight="1">
      <c r="B34" s="3730"/>
      <c r="C34" s="610" t="str">
        <f>C10</f>
        <v>Febrero</v>
      </c>
      <c r="D34" s="611">
        <f>SUM('Aux 4.1.1Crédito Inicial 1:Aux 4.5.Crédito 5'!O37)</f>
        <v>0</v>
      </c>
      <c r="E34" s="611">
        <f>SUM('Aux 4.1.1Crédito Inicial 1:Aux 4.5.Crédito 5'!P37)</f>
        <v>0</v>
      </c>
      <c r="F34" s="612">
        <f>SUM('Aux 4.1.1Crédito Inicial 1:Aux 4.5.Crédito 5'!Q37)</f>
        <v>0</v>
      </c>
      <c r="G34" s="590"/>
    </row>
    <row r="35" spans="2:7" ht="15.75" customHeight="1">
      <c r="B35" s="3730"/>
      <c r="C35" s="610" t="str">
        <f t="shared" ref="C35:C44" si="1">C11</f>
        <v>Marzo</v>
      </c>
      <c r="D35" s="611">
        <f>SUM('Aux 4.1.1Crédito Inicial 1:Aux 4.5.Crédito 5'!O38)</f>
        <v>0</v>
      </c>
      <c r="E35" s="611">
        <f>SUM('Aux 4.1.1Crédito Inicial 1:Aux 4.5.Crédito 5'!P38)</f>
        <v>0</v>
      </c>
      <c r="F35" s="612">
        <f>SUM('Aux 4.1.1Crédito Inicial 1:Aux 4.5.Crédito 5'!Q38)</f>
        <v>0</v>
      </c>
      <c r="G35" s="590"/>
    </row>
    <row r="36" spans="2:7" ht="15.75" customHeight="1">
      <c r="B36" s="3730"/>
      <c r="C36" s="610" t="str">
        <f t="shared" si="1"/>
        <v>Abril</v>
      </c>
      <c r="D36" s="611">
        <f>SUM('Aux 4.1.1Crédito Inicial 1:Aux 4.5.Crédito 5'!O39)</f>
        <v>0</v>
      </c>
      <c r="E36" s="611">
        <f>SUM('Aux 4.1.1Crédito Inicial 1:Aux 4.5.Crédito 5'!P39)</f>
        <v>0</v>
      </c>
      <c r="F36" s="612">
        <f>SUM('Aux 4.1.1Crédito Inicial 1:Aux 4.5.Crédito 5'!Q39)</f>
        <v>0</v>
      </c>
      <c r="G36" s="590"/>
    </row>
    <row r="37" spans="2:7" ht="15.75" customHeight="1">
      <c r="B37" s="3730"/>
      <c r="C37" s="610" t="str">
        <f t="shared" si="1"/>
        <v>Mayo</v>
      </c>
      <c r="D37" s="611">
        <f>SUM('Aux 4.1.1Crédito Inicial 1:Aux 4.5.Crédito 5'!O40)</f>
        <v>0</v>
      </c>
      <c r="E37" s="611">
        <f>SUM('Aux 4.1.1Crédito Inicial 1:Aux 4.5.Crédito 5'!P40)</f>
        <v>0</v>
      </c>
      <c r="F37" s="612">
        <f>SUM('Aux 4.1.1Crédito Inicial 1:Aux 4.5.Crédito 5'!Q40)</f>
        <v>0</v>
      </c>
      <c r="G37" s="590"/>
    </row>
    <row r="38" spans="2:7" ht="15.75" customHeight="1">
      <c r="B38" s="3730"/>
      <c r="C38" s="610" t="str">
        <f t="shared" si="1"/>
        <v>Junio</v>
      </c>
      <c r="D38" s="611">
        <f>SUM('Aux 4.1.1Crédito Inicial 1:Aux 4.5.Crédito 5'!O41)</f>
        <v>0</v>
      </c>
      <c r="E38" s="611">
        <f>SUM('Aux 4.1.1Crédito Inicial 1:Aux 4.5.Crédito 5'!P41)</f>
        <v>0</v>
      </c>
      <c r="F38" s="612">
        <f>SUM('Aux 4.1.1Crédito Inicial 1:Aux 4.5.Crédito 5'!Q41)</f>
        <v>0</v>
      </c>
      <c r="G38" s="590"/>
    </row>
    <row r="39" spans="2:7" ht="15.75" customHeight="1">
      <c r="B39" s="3730"/>
      <c r="C39" s="610" t="str">
        <f t="shared" si="1"/>
        <v>Julio</v>
      </c>
      <c r="D39" s="611">
        <f>SUM('Aux 4.1.1Crédito Inicial 1:Aux 4.5.Crédito 5'!O42)</f>
        <v>0</v>
      </c>
      <c r="E39" s="611">
        <f>SUM('Aux 4.1.1Crédito Inicial 1:Aux 4.5.Crédito 5'!P42)</f>
        <v>0</v>
      </c>
      <c r="F39" s="612">
        <f>SUM('Aux 4.1.1Crédito Inicial 1:Aux 4.5.Crédito 5'!Q42)</f>
        <v>0</v>
      </c>
      <c r="G39" s="590"/>
    </row>
    <row r="40" spans="2:7" ht="15.75" customHeight="1">
      <c r="B40" s="3730"/>
      <c r="C40" s="610" t="str">
        <f t="shared" si="1"/>
        <v>Agosto</v>
      </c>
      <c r="D40" s="611">
        <f>SUM('Aux 4.1.1Crédito Inicial 1:Aux 4.5.Crédito 5'!O43)</f>
        <v>0</v>
      </c>
      <c r="E40" s="611">
        <f>SUM('Aux 4.1.1Crédito Inicial 1:Aux 4.5.Crédito 5'!P43)</f>
        <v>0</v>
      </c>
      <c r="F40" s="612">
        <f>SUM('Aux 4.1.1Crédito Inicial 1:Aux 4.5.Crédito 5'!Q43)</f>
        <v>0</v>
      </c>
      <c r="G40" s="590"/>
    </row>
    <row r="41" spans="2:7" ht="15.75" customHeight="1">
      <c r="B41" s="3730"/>
      <c r="C41" s="610" t="str">
        <f t="shared" si="1"/>
        <v>Septiembre</v>
      </c>
      <c r="D41" s="611">
        <f>SUM('Aux 4.1.1Crédito Inicial 1:Aux 4.5.Crédito 5'!O44)</f>
        <v>0</v>
      </c>
      <c r="E41" s="611">
        <f>SUM('Aux 4.1.1Crédito Inicial 1:Aux 4.5.Crédito 5'!P44)</f>
        <v>0</v>
      </c>
      <c r="F41" s="612">
        <f>SUM('Aux 4.1.1Crédito Inicial 1:Aux 4.5.Crédito 5'!Q44)</f>
        <v>0</v>
      </c>
      <c r="G41" s="590"/>
    </row>
    <row r="42" spans="2:7" ht="15.75" customHeight="1">
      <c r="B42" s="3730"/>
      <c r="C42" s="610" t="str">
        <f t="shared" si="1"/>
        <v>Octubre</v>
      </c>
      <c r="D42" s="611">
        <f>SUM('Aux 4.1.1Crédito Inicial 1:Aux 4.5.Crédito 5'!O45)</f>
        <v>0</v>
      </c>
      <c r="E42" s="611">
        <f>SUM('Aux 4.1.1Crédito Inicial 1:Aux 4.5.Crédito 5'!P45)</f>
        <v>0</v>
      </c>
      <c r="F42" s="612">
        <f>SUM('Aux 4.1.1Crédito Inicial 1:Aux 4.5.Crédito 5'!Q45)</f>
        <v>0</v>
      </c>
      <c r="G42" s="590"/>
    </row>
    <row r="43" spans="2:7" ht="15.75" customHeight="1">
      <c r="B43" s="3730"/>
      <c r="C43" s="610" t="str">
        <f t="shared" si="1"/>
        <v>Noviembre</v>
      </c>
      <c r="D43" s="611">
        <f>SUM('Aux 4.1.1Crédito Inicial 1:Aux 4.5.Crédito 5'!O46)</f>
        <v>0</v>
      </c>
      <c r="E43" s="611">
        <f>SUM('Aux 4.1.1Crédito Inicial 1:Aux 4.5.Crédito 5'!P46)</f>
        <v>0</v>
      </c>
      <c r="F43" s="612">
        <f>SUM('Aux 4.1.1Crédito Inicial 1:Aux 4.5.Crédito 5'!Q46)</f>
        <v>0</v>
      </c>
      <c r="G43" s="590"/>
    </row>
    <row r="44" spans="2:7" ht="15.75" customHeight="1" thickBot="1">
      <c r="B44" s="3731"/>
      <c r="C44" s="610" t="str">
        <f t="shared" si="1"/>
        <v>Diciembre</v>
      </c>
      <c r="D44" s="616">
        <f>SUM('Aux 4.1.1Crédito Inicial 1:Aux 4.5.Crédito 5'!O47)</f>
        <v>0</v>
      </c>
      <c r="E44" s="616">
        <f>SUM('Aux 4.1.1Crédito Inicial 1:Aux 4.5.Crédito 5'!P47)</f>
        <v>0</v>
      </c>
      <c r="F44" s="617">
        <f>SUM('Aux 4.1.1Crédito Inicial 1:Aux 4.5.Crédito 5'!Q47)</f>
        <v>0</v>
      </c>
      <c r="G44" s="632"/>
    </row>
    <row r="45" spans="2:7" ht="15.75" customHeight="1">
      <c r="B45" s="3729" t="str">
        <f>"4º ej."&amp;'1.Datos Básicos. Product-Serv'!G11</f>
        <v>4º ej.3</v>
      </c>
      <c r="C45" s="618" t="str">
        <f>C9</f>
        <v>Enero</v>
      </c>
      <c r="D45" s="611">
        <f>SUM('Aux 4.1.1Crédito Inicial 1:Aux 4.5.Crédito 5'!O48)</f>
        <v>0</v>
      </c>
      <c r="E45" s="611">
        <f>SUM('Aux 4.1.1Crédito Inicial 1:Aux 4.5.Crédito 5'!P48)</f>
        <v>0</v>
      </c>
      <c r="F45" s="1091">
        <f>SUM('Aux 4.1.1Crédito Inicial 1:Aux 4.5.Crédito 5'!Q48)</f>
        <v>0</v>
      </c>
      <c r="G45" s="590"/>
    </row>
    <row r="46" spans="2:7" ht="15.75" customHeight="1">
      <c r="B46" s="3730"/>
      <c r="C46" s="610" t="str">
        <f>C10</f>
        <v>Febrero</v>
      </c>
      <c r="D46" s="611">
        <f>SUM('Aux 4.1.1Crédito Inicial 1:Aux 4.5.Crédito 5'!O49)</f>
        <v>0</v>
      </c>
      <c r="E46" s="611">
        <f>SUM('Aux 4.1.1Crédito Inicial 1:Aux 4.5.Crédito 5'!P49)</f>
        <v>0</v>
      </c>
      <c r="F46" s="1091">
        <f>SUM('Aux 4.1.1Crédito Inicial 1:Aux 4.5.Crédito 5'!Q49)</f>
        <v>0</v>
      </c>
      <c r="G46" s="590"/>
    </row>
    <row r="47" spans="2:7" ht="15.75" customHeight="1">
      <c r="B47" s="3730"/>
      <c r="C47" s="610" t="str">
        <f t="shared" ref="C47:C56" si="2">C11</f>
        <v>Marzo</v>
      </c>
      <c r="D47" s="611">
        <f>SUM('Aux 4.1.1Crédito Inicial 1:Aux 4.5.Crédito 5'!O50)</f>
        <v>0</v>
      </c>
      <c r="E47" s="611">
        <f>SUM('Aux 4.1.1Crédito Inicial 1:Aux 4.5.Crédito 5'!P50)</f>
        <v>0</v>
      </c>
      <c r="F47" s="1091">
        <f>SUM('Aux 4.1.1Crédito Inicial 1:Aux 4.5.Crédito 5'!Q50)</f>
        <v>0</v>
      </c>
      <c r="G47" s="590"/>
    </row>
    <row r="48" spans="2:7" ht="15.75" customHeight="1">
      <c r="B48" s="3730"/>
      <c r="C48" s="610" t="str">
        <f t="shared" si="2"/>
        <v>Abril</v>
      </c>
      <c r="D48" s="611">
        <f>SUM('Aux 4.1.1Crédito Inicial 1:Aux 4.5.Crédito 5'!O51)</f>
        <v>0</v>
      </c>
      <c r="E48" s="611">
        <f>SUM('Aux 4.1.1Crédito Inicial 1:Aux 4.5.Crédito 5'!P51)</f>
        <v>0</v>
      </c>
      <c r="F48" s="1091">
        <f>SUM('Aux 4.1.1Crédito Inicial 1:Aux 4.5.Crédito 5'!Q51)</f>
        <v>0</v>
      </c>
      <c r="G48" s="590"/>
    </row>
    <row r="49" spans="2:7" ht="15.75" customHeight="1">
      <c r="B49" s="3730"/>
      <c r="C49" s="610" t="str">
        <f t="shared" si="2"/>
        <v>Mayo</v>
      </c>
      <c r="D49" s="611">
        <f>SUM('Aux 4.1.1Crédito Inicial 1:Aux 4.5.Crédito 5'!O52)</f>
        <v>0</v>
      </c>
      <c r="E49" s="611">
        <f>SUM('Aux 4.1.1Crédito Inicial 1:Aux 4.5.Crédito 5'!P52)</f>
        <v>0</v>
      </c>
      <c r="F49" s="1091">
        <f>SUM('Aux 4.1.1Crédito Inicial 1:Aux 4.5.Crédito 5'!Q52)</f>
        <v>0</v>
      </c>
      <c r="G49" s="590"/>
    </row>
    <row r="50" spans="2:7" ht="15.75" customHeight="1">
      <c r="B50" s="3730"/>
      <c r="C50" s="610" t="str">
        <f t="shared" si="2"/>
        <v>Junio</v>
      </c>
      <c r="D50" s="611">
        <f>SUM('Aux 4.1.1Crédito Inicial 1:Aux 4.5.Crédito 5'!O53)</f>
        <v>0</v>
      </c>
      <c r="E50" s="611">
        <f>SUM('Aux 4.1.1Crédito Inicial 1:Aux 4.5.Crédito 5'!P53)</f>
        <v>0</v>
      </c>
      <c r="F50" s="1091">
        <f>SUM('Aux 4.1.1Crédito Inicial 1:Aux 4.5.Crédito 5'!Q53)</f>
        <v>0</v>
      </c>
      <c r="G50" s="590"/>
    </row>
    <row r="51" spans="2:7" ht="15.75" customHeight="1">
      <c r="B51" s="3730"/>
      <c r="C51" s="610" t="str">
        <f t="shared" si="2"/>
        <v>Julio</v>
      </c>
      <c r="D51" s="611">
        <f>SUM('Aux 4.1.1Crédito Inicial 1:Aux 4.5.Crédito 5'!O54)</f>
        <v>0</v>
      </c>
      <c r="E51" s="611">
        <f>SUM('Aux 4.1.1Crédito Inicial 1:Aux 4.5.Crédito 5'!P54)</f>
        <v>0</v>
      </c>
      <c r="F51" s="1091">
        <f>SUM('Aux 4.1.1Crédito Inicial 1:Aux 4.5.Crédito 5'!Q54)</f>
        <v>0</v>
      </c>
      <c r="G51" s="590"/>
    </row>
    <row r="52" spans="2:7" ht="15.75" customHeight="1">
      <c r="B52" s="3730"/>
      <c r="C52" s="610" t="str">
        <f t="shared" si="2"/>
        <v>Agosto</v>
      </c>
      <c r="D52" s="611">
        <f>SUM('Aux 4.1.1Crédito Inicial 1:Aux 4.5.Crédito 5'!O55)</f>
        <v>0</v>
      </c>
      <c r="E52" s="611">
        <f>SUM('Aux 4.1.1Crédito Inicial 1:Aux 4.5.Crédito 5'!P55)</f>
        <v>0</v>
      </c>
      <c r="F52" s="1091">
        <f>SUM('Aux 4.1.1Crédito Inicial 1:Aux 4.5.Crédito 5'!Q55)</f>
        <v>0</v>
      </c>
      <c r="G52" s="590"/>
    </row>
    <row r="53" spans="2:7" ht="15.75" customHeight="1">
      <c r="B53" s="3730"/>
      <c r="C53" s="610" t="str">
        <f t="shared" si="2"/>
        <v>Septiembre</v>
      </c>
      <c r="D53" s="611">
        <f>SUM('Aux 4.1.1Crédito Inicial 1:Aux 4.5.Crédito 5'!O56)</f>
        <v>0</v>
      </c>
      <c r="E53" s="611">
        <f>SUM('Aux 4.1.1Crédito Inicial 1:Aux 4.5.Crédito 5'!P56)</f>
        <v>0</v>
      </c>
      <c r="F53" s="1091">
        <f>SUM('Aux 4.1.1Crédito Inicial 1:Aux 4.5.Crédito 5'!Q56)</f>
        <v>0</v>
      </c>
      <c r="G53" s="590"/>
    </row>
    <row r="54" spans="2:7" ht="15.75" customHeight="1">
      <c r="B54" s="3730"/>
      <c r="C54" s="610" t="str">
        <f t="shared" si="2"/>
        <v>Octubre</v>
      </c>
      <c r="D54" s="611">
        <f>SUM('Aux 4.1.1Crédito Inicial 1:Aux 4.5.Crédito 5'!O57)</f>
        <v>0</v>
      </c>
      <c r="E54" s="611">
        <f>SUM('Aux 4.1.1Crédito Inicial 1:Aux 4.5.Crédito 5'!P57)</f>
        <v>0</v>
      </c>
      <c r="F54" s="1091">
        <f>SUM('Aux 4.1.1Crédito Inicial 1:Aux 4.5.Crédito 5'!Q57)</f>
        <v>0</v>
      </c>
      <c r="G54" s="590"/>
    </row>
    <row r="55" spans="2:7" ht="15.75" customHeight="1">
      <c r="B55" s="3730"/>
      <c r="C55" s="610" t="str">
        <f t="shared" si="2"/>
        <v>Noviembre</v>
      </c>
      <c r="D55" s="611">
        <f>SUM('Aux 4.1.1Crédito Inicial 1:Aux 4.5.Crédito 5'!O58)</f>
        <v>0</v>
      </c>
      <c r="E55" s="611">
        <f>SUM('Aux 4.1.1Crédito Inicial 1:Aux 4.5.Crédito 5'!P58)</f>
        <v>0</v>
      </c>
      <c r="F55" s="1091">
        <f>SUM('Aux 4.1.1Crédito Inicial 1:Aux 4.5.Crédito 5'!Q58)</f>
        <v>0</v>
      </c>
      <c r="G55" s="590"/>
    </row>
    <row r="56" spans="2:7" ht="15.75" customHeight="1" thickBot="1">
      <c r="B56" s="3731"/>
      <c r="C56" s="613" t="str">
        <f t="shared" si="2"/>
        <v>Diciembre</v>
      </c>
      <c r="D56" s="616">
        <f>SUM('Aux 4.1.1Crédito Inicial 1:Aux 4.5.Crédito 5'!O59)</f>
        <v>0</v>
      </c>
      <c r="E56" s="616">
        <f>SUM('Aux 4.1.1Crédito Inicial 1:Aux 4.5.Crédito 5'!P59)</f>
        <v>0</v>
      </c>
      <c r="F56" s="1092">
        <f>SUM('Aux 4.1.1Crédito Inicial 1:Aux 4.5.Crédito 5'!Q59)</f>
        <v>0</v>
      </c>
      <c r="G56" s="632"/>
    </row>
    <row r="57" spans="2:7" ht="15.75" customHeight="1">
      <c r="B57" s="3729" t="str">
        <f>"5º ej."&amp;'1.Datos Básicos. Product-Serv'!H11</f>
        <v>5º ej.4</v>
      </c>
      <c r="C57" s="618" t="str">
        <f>C9</f>
        <v>Enero</v>
      </c>
      <c r="D57" s="611">
        <f>SUM('Aux 4.1.1Crédito Inicial 1:Aux 4.5.Crédito 5'!O60)</f>
        <v>0</v>
      </c>
      <c r="E57" s="611">
        <f>SUM('Aux 4.1.1Crédito Inicial 1:Aux 4.5.Crédito 5'!P60)</f>
        <v>0</v>
      </c>
      <c r="F57" s="1091">
        <f>SUM('Aux 4.1.1Crédito Inicial 1:Aux 4.5.Crédito 5'!Q60)</f>
        <v>0</v>
      </c>
      <c r="G57" s="590"/>
    </row>
    <row r="58" spans="2:7" ht="15.75" customHeight="1">
      <c r="B58" s="3730"/>
      <c r="C58" s="610" t="str">
        <f>C10</f>
        <v>Febrero</v>
      </c>
      <c r="D58" s="611">
        <f>SUM('Aux 4.1.1Crédito Inicial 1:Aux 4.5.Crédito 5'!O61)</f>
        <v>0</v>
      </c>
      <c r="E58" s="611">
        <f>SUM('Aux 4.1.1Crédito Inicial 1:Aux 4.5.Crédito 5'!P61)</f>
        <v>0</v>
      </c>
      <c r="F58" s="1091">
        <f>SUM('Aux 4.1.1Crédito Inicial 1:Aux 4.5.Crédito 5'!Q61)</f>
        <v>0</v>
      </c>
      <c r="G58" s="590"/>
    </row>
    <row r="59" spans="2:7" ht="15.75" customHeight="1">
      <c r="B59" s="3730"/>
      <c r="C59" s="610" t="str">
        <f t="shared" ref="C59:C80" si="3">C11</f>
        <v>Marzo</v>
      </c>
      <c r="D59" s="611">
        <f>SUM('Aux 4.1.1Crédito Inicial 1:Aux 4.5.Crédito 5'!O62)</f>
        <v>0</v>
      </c>
      <c r="E59" s="611">
        <f>SUM('Aux 4.1.1Crédito Inicial 1:Aux 4.5.Crédito 5'!P62)</f>
        <v>0</v>
      </c>
      <c r="F59" s="1091">
        <f>SUM('Aux 4.1.1Crédito Inicial 1:Aux 4.5.Crédito 5'!Q62)</f>
        <v>0</v>
      </c>
      <c r="G59" s="590"/>
    </row>
    <row r="60" spans="2:7" ht="15.75" customHeight="1">
      <c r="B60" s="3730"/>
      <c r="C60" s="610" t="str">
        <f t="shared" si="3"/>
        <v>Abril</v>
      </c>
      <c r="D60" s="611">
        <f>SUM('Aux 4.1.1Crédito Inicial 1:Aux 4.5.Crédito 5'!O63)</f>
        <v>0</v>
      </c>
      <c r="E60" s="611">
        <f>SUM('Aux 4.1.1Crédito Inicial 1:Aux 4.5.Crédito 5'!P63)</f>
        <v>0</v>
      </c>
      <c r="F60" s="1091">
        <f>SUM('Aux 4.1.1Crédito Inicial 1:Aux 4.5.Crédito 5'!Q63)</f>
        <v>0</v>
      </c>
      <c r="G60" s="590"/>
    </row>
    <row r="61" spans="2:7" ht="15.75" customHeight="1">
      <c r="B61" s="3730"/>
      <c r="C61" s="610" t="str">
        <f t="shared" si="3"/>
        <v>Mayo</v>
      </c>
      <c r="D61" s="611">
        <f>SUM('Aux 4.1.1Crédito Inicial 1:Aux 4.5.Crédito 5'!O64)</f>
        <v>0</v>
      </c>
      <c r="E61" s="611">
        <f>SUM('Aux 4.1.1Crédito Inicial 1:Aux 4.5.Crédito 5'!P64)</f>
        <v>0</v>
      </c>
      <c r="F61" s="1091">
        <f>SUM('Aux 4.1.1Crédito Inicial 1:Aux 4.5.Crédito 5'!Q64)</f>
        <v>0</v>
      </c>
      <c r="G61" s="590"/>
    </row>
    <row r="62" spans="2:7" ht="15.75" customHeight="1">
      <c r="B62" s="3730"/>
      <c r="C62" s="610" t="str">
        <f t="shared" si="3"/>
        <v>Junio</v>
      </c>
      <c r="D62" s="611">
        <f>SUM('Aux 4.1.1Crédito Inicial 1:Aux 4.5.Crédito 5'!O65)</f>
        <v>0</v>
      </c>
      <c r="E62" s="611">
        <f>SUM('Aux 4.1.1Crédito Inicial 1:Aux 4.5.Crédito 5'!P65)</f>
        <v>0</v>
      </c>
      <c r="F62" s="1091">
        <f>SUM('Aux 4.1.1Crédito Inicial 1:Aux 4.5.Crédito 5'!Q65)</f>
        <v>0</v>
      </c>
      <c r="G62" s="590"/>
    </row>
    <row r="63" spans="2:7" ht="15.75" customHeight="1">
      <c r="B63" s="3730"/>
      <c r="C63" s="610" t="str">
        <f t="shared" si="3"/>
        <v>Julio</v>
      </c>
      <c r="D63" s="611">
        <f>SUM('Aux 4.1.1Crédito Inicial 1:Aux 4.5.Crédito 5'!O66)</f>
        <v>0</v>
      </c>
      <c r="E63" s="611">
        <f>SUM('Aux 4.1.1Crédito Inicial 1:Aux 4.5.Crédito 5'!P66)</f>
        <v>0</v>
      </c>
      <c r="F63" s="1091">
        <f>SUM('Aux 4.1.1Crédito Inicial 1:Aux 4.5.Crédito 5'!Q66)</f>
        <v>0</v>
      </c>
      <c r="G63" s="590"/>
    </row>
    <row r="64" spans="2:7" ht="15.75" customHeight="1">
      <c r="B64" s="3730"/>
      <c r="C64" s="610" t="str">
        <f t="shared" si="3"/>
        <v>Agosto</v>
      </c>
      <c r="D64" s="611">
        <f>SUM('Aux 4.1.1Crédito Inicial 1:Aux 4.5.Crédito 5'!O67)</f>
        <v>0</v>
      </c>
      <c r="E64" s="611">
        <f>SUM('Aux 4.1.1Crédito Inicial 1:Aux 4.5.Crédito 5'!P67)</f>
        <v>0</v>
      </c>
      <c r="F64" s="1091">
        <f>SUM('Aux 4.1.1Crédito Inicial 1:Aux 4.5.Crédito 5'!Q67)</f>
        <v>0</v>
      </c>
      <c r="G64" s="590"/>
    </row>
    <row r="65" spans="2:7" ht="15.75" customHeight="1">
      <c r="B65" s="3730"/>
      <c r="C65" s="610" t="str">
        <f t="shared" si="3"/>
        <v>Septiembre</v>
      </c>
      <c r="D65" s="611">
        <f>SUM('Aux 4.1.1Crédito Inicial 1:Aux 4.5.Crédito 5'!O68)</f>
        <v>0</v>
      </c>
      <c r="E65" s="611">
        <f>SUM('Aux 4.1.1Crédito Inicial 1:Aux 4.5.Crédito 5'!P68)</f>
        <v>0</v>
      </c>
      <c r="F65" s="1091">
        <f>SUM('Aux 4.1.1Crédito Inicial 1:Aux 4.5.Crédito 5'!Q68)</f>
        <v>0</v>
      </c>
      <c r="G65" s="590"/>
    </row>
    <row r="66" spans="2:7" ht="15.75" customHeight="1">
      <c r="B66" s="3730"/>
      <c r="C66" s="610" t="str">
        <f t="shared" si="3"/>
        <v>Octubre</v>
      </c>
      <c r="D66" s="611">
        <f>SUM('Aux 4.1.1Crédito Inicial 1:Aux 4.5.Crédito 5'!O69)</f>
        <v>0</v>
      </c>
      <c r="E66" s="611">
        <f>SUM('Aux 4.1.1Crédito Inicial 1:Aux 4.5.Crédito 5'!P69)</f>
        <v>0</v>
      </c>
      <c r="F66" s="1091">
        <f>SUM('Aux 4.1.1Crédito Inicial 1:Aux 4.5.Crédito 5'!Q69)</f>
        <v>0</v>
      </c>
      <c r="G66" s="590"/>
    </row>
    <row r="67" spans="2:7" ht="15.75" customHeight="1">
      <c r="B67" s="3730"/>
      <c r="C67" s="610" t="str">
        <f t="shared" si="3"/>
        <v>Noviembre</v>
      </c>
      <c r="D67" s="611">
        <f>SUM('Aux 4.1.1Crédito Inicial 1:Aux 4.5.Crédito 5'!O70)</f>
        <v>0</v>
      </c>
      <c r="E67" s="611">
        <f>SUM('Aux 4.1.1Crédito Inicial 1:Aux 4.5.Crédito 5'!P70)</f>
        <v>0</v>
      </c>
      <c r="F67" s="1091">
        <f>SUM('Aux 4.1.1Crédito Inicial 1:Aux 4.5.Crédito 5'!Q70)</f>
        <v>0</v>
      </c>
      <c r="G67" s="590"/>
    </row>
    <row r="68" spans="2:7" ht="15.75" customHeight="1" thickBot="1">
      <c r="B68" s="3731"/>
      <c r="C68" s="619" t="str">
        <f t="shared" si="3"/>
        <v>Diciembre</v>
      </c>
      <c r="D68" s="621">
        <f>SUM('Aux 4.1.1Crédito Inicial 1:Aux 4.5.Crédito 5'!O71)</f>
        <v>0</v>
      </c>
      <c r="E68" s="621">
        <f>SUM('Aux 4.1.1Crédito Inicial 1:Aux 4.5.Crédito 5'!P71)</f>
        <v>0</v>
      </c>
      <c r="F68" s="1093">
        <f>SUM('Aux 4.1.1Crédito Inicial 1:Aux 4.5.Crédito 5'!Q71)</f>
        <v>0</v>
      </c>
      <c r="G68" s="632"/>
    </row>
    <row r="69" spans="2:7" ht="15.75" hidden="1" customHeight="1">
      <c r="B69" s="3729" t="str">
        <f>"6º ej."&amp;'1.Datos Básicos. Product-Serv'!I11</f>
        <v>6º ej.0</v>
      </c>
      <c r="C69" s="620" t="str">
        <f t="shared" si="3"/>
        <v>Enero</v>
      </c>
      <c r="D69" s="611">
        <f>SUM('Aux 4.1.1Crédito Inicial 1:Aux 4.5.Crédito 5'!O72)</f>
        <v>0</v>
      </c>
      <c r="E69" s="611">
        <f>SUM('Aux 4.1.1Crédito Inicial 1:Aux 4.5.Crédito 5'!P72)</f>
        <v>0</v>
      </c>
      <c r="F69" s="1091">
        <f>SUM('Aux 4.1.1Crédito Inicial 1:Aux 4.5.Crédito 5'!Q72)</f>
        <v>0</v>
      </c>
      <c r="G69" s="1143"/>
    </row>
    <row r="70" spans="2:7" ht="15.75" hidden="1" customHeight="1">
      <c r="B70" s="3730"/>
      <c r="C70" s="620" t="str">
        <f t="shared" si="3"/>
        <v>Febrero</v>
      </c>
      <c r="D70" s="611">
        <f>SUM('Aux 4.1.1Crédito Inicial 1:Aux 4.5.Crédito 5'!O73)</f>
        <v>0</v>
      </c>
      <c r="E70" s="611">
        <f>SUM('Aux 4.1.1Crédito Inicial 1:Aux 4.5.Crédito 5'!P73)</f>
        <v>0</v>
      </c>
      <c r="F70" s="1091">
        <f>SUM('Aux 4.1.1Crédito Inicial 1:Aux 4.5.Crédito 5'!Q73)</f>
        <v>0</v>
      </c>
      <c r="G70" s="1144"/>
    </row>
    <row r="71" spans="2:7" hidden="1">
      <c r="B71" s="3730"/>
      <c r="C71" s="620" t="str">
        <f t="shared" si="3"/>
        <v>Marzo</v>
      </c>
      <c r="D71" s="611">
        <f>SUM('Aux 4.1.1Crédito Inicial 1:Aux 4.5.Crédito 5'!O74)</f>
        <v>0</v>
      </c>
      <c r="E71" s="611">
        <f>SUM('Aux 4.1.1Crédito Inicial 1:Aux 4.5.Crédito 5'!P74)</f>
        <v>0</v>
      </c>
      <c r="F71" s="1091">
        <f>SUM('Aux 4.1.1Crédito Inicial 1:Aux 4.5.Crédito 5'!Q74)</f>
        <v>0</v>
      </c>
      <c r="G71" s="1144"/>
    </row>
    <row r="72" spans="2:7" hidden="1">
      <c r="B72" s="3730"/>
      <c r="C72" s="620" t="str">
        <f t="shared" si="3"/>
        <v>Abril</v>
      </c>
      <c r="D72" s="611">
        <f>SUM('Aux 4.1.1Crédito Inicial 1:Aux 4.5.Crédito 5'!O75)</f>
        <v>0</v>
      </c>
      <c r="E72" s="611">
        <f>SUM('Aux 4.1.1Crédito Inicial 1:Aux 4.5.Crédito 5'!P75)</f>
        <v>0</v>
      </c>
      <c r="F72" s="1091">
        <f>SUM('Aux 4.1.1Crédito Inicial 1:Aux 4.5.Crédito 5'!Q75)</f>
        <v>0</v>
      </c>
      <c r="G72" s="1144"/>
    </row>
    <row r="73" spans="2:7" hidden="1">
      <c r="B73" s="3730"/>
      <c r="C73" s="620" t="str">
        <f t="shared" si="3"/>
        <v>Mayo</v>
      </c>
      <c r="D73" s="611">
        <f>SUM('Aux 4.1.1Crédito Inicial 1:Aux 4.5.Crédito 5'!O76)</f>
        <v>0</v>
      </c>
      <c r="E73" s="611">
        <f>SUM('Aux 4.1.1Crédito Inicial 1:Aux 4.5.Crédito 5'!P76)</f>
        <v>0</v>
      </c>
      <c r="F73" s="1091">
        <f>SUM('Aux 4.1.1Crédito Inicial 1:Aux 4.5.Crédito 5'!Q76)</f>
        <v>0</v>
      </c>
      <c r="G73" s="1144"/>
    </row>
    <row r="74" spans="2:7" hidden="1">
      <c r="B74" s="3730"/>
      <c r="C74" s="620" t="str">
        <f t="shared" si="3"/>
        <v>Junio</v>
      </c>
      <c r="D74" s="611">
        <f>SUM('Aux 4.1.1Crédito Inicial 1:Aux 4.5.Crédito 5'!O77)</f>
        <v>0</v>
      </c>
      <c r="E74" s="611">
        <f>SUM('Aux 4.1.1Crédito Inicial 1:Aux 4.5.Crédito 5'!P77)</f>
        <v>0</v>
      </c>
      <c r="F74" s="1091">
        <f>SUM('Aux 4.1.1Crédito Inicial 1:Aux 4.5.Crédito 5'!Q77)</f>
        <v>0</v>
      </c>
      <c r="G74" s="1154" t="s">
        <v>453</v>
      </c>
    </row>
    <row r="75" spans="2:7" hidden="1">
      <c r="B75" s="3730"/>
      <c r="C75" s="620" t="str">
        <f t="shared" si="3"/>
        <v>Julio</v>
      </c>
      <c r="D75" s="611">
        <f>SUM('Aux 4.1.1Crédito Inicial 1:Aux 4.5.Crédito 5'!O78)</f>
        <v>0</v>
      </c>
      <c r="E75" s="611">
        <f>SUM('Aux 4.1.1Crédito Inicial 1:Aux 4.5.Crédito 5'!P78)</f>
        <v>0</v>
      </c>
      <c r="F75" s="1091">
        <f>SUM('Aux 4.1.1Crédito Inicial 1:Aux 4.5.Crédito 5'!Q78)</f>
        <v>0</v>
      </c>
      <c r="G75" s="1144"/>
    </row>
    <row r="76" spans="2:7" hidden="1">
      <c r="B76" s="3730"/>
      <c r="C76" s="620" t="str">
        <f t="shared" si="3"/>
        <v>Agosto</v>
      </c>
      <c r="D76" s="611">
        <f>SUM('Aux 4.1.1Crédito Inicial 1:Aux 4.5.Crédito 5'!O79)</f>
        <v>0</v>
      </c>
      <c r="E76" s="611">
        <f>SUM('Aux 4.1.1Crédito Inicial 1:Aux 4.5.Crédito 5'!P79)</f>
        <v>0</v>
      </c>
      <c r="F76" s="1091">
        <f>SUM('Aux 4.1.1Crédito Inicial 1:Aux 4.5.Crédito 5'!Q79)</f>
        <v>0</v>
      </c>
      <c r="G76" s="1144"/>
    </row>
    <row r="77" spans="2:7" ht="15.75" hidden="1" customHeight="1">
      <c r="B77" s="3730"/>
      <c r="C77" s="620" t="str">
        <f t="shared" si="3"/>
        <v>Septiembre</v>
      </c>
      <c r="D77" s="611">
        <f>SUM('Aux 4.1.1Crédito Inicial 1:Aux 4.5.Crédito 5'!O80)</f>
        <v>0</v>
      </c>
      <c r="E77" s="611">
        <f>SUM('Aux 4.1.1Crédito Inicial 1:Aux 4.5.Crédito 5'!P80)</f>
        <v>0</v>
      </c>
      <c r="F77" s="1091">
        <f>SUM('Aux 4.1.1Crédito Inicial 1:Aux 4.5.Crédito 5'!Q80)</f>
        <v>0</v>
      </c>
      <c r="G77" s="1144"/>
    </row>
    <row r="78" spans="2:7" hidden="1">
      <c r="B78" s="3730"/>
      <c r="C78" s="620" t="str">
        <f t="shared" si="3"/>
        <v>Octubre</v>
      </c>
      <c r="D78" s="611">
        <f>SUM('Aux 4.1.1Crédito Inicial 1:Aux 4.5.Crédito 5'!O81)</f>
        <v>0</v>
      </c>
      <c r="E78" s="611">
        <f>SUM('Aux 4.1.1Crédito Inicial 1:Aux 4.5.Crédito 5'!P81)</f>
        <v>0</v>
      </c>
      <c r="F78" s="1091">
        <f>SUM('Aux 4.1.1Crédito Inicial 1:Aux 4.5.Crédito 5'!Q81)</f>
        <v>0</v>
      </c>
      <c r="G78" s="1144"/>
    </row>
    <row r="79" spans="2:7" hidden="1">
      <c r="B79" s="3730"/>
      <c r="C79" s="620" t="str">
        <f t="shared" si="3"/>
        <v>Noviembre</v>
      </c>
      <c r="D79" s="611">
        <f>SUM('Aux 4.1.1Crédito Inicial 1:Aux 4.5.Crédito 5'!O82)</f>
        <v>0</v>
      </c>
      <c r="E79" s="611">
        <f>SUM('Aux 4.1.1Crédito Inicial 1:Aux 4.5.Crédito 5'!P82)</f>
        <v>0</v>
      </c>
      <c r="F79" s="1091">
        <f>SUM('Aux 4.1.1Crédito Inicial 1:Aux 4.5.Crédito 5'!Q82)</f>
        <v>0</v>
      </c>
      <c r="G79" s="1144"/>
    </row>
    <row r="80" spans="2:7" ht="16.5" hidden="1" thickBot="1">
      <c r="B80" s="3731"/>
      <c r="C80" s="619" t="str">
        <f t="shared" si="3"/>
        <v>Diciembre</v>
      </c>
      <c r="D80" s="621">
        <f>SUM('Aux 4.1.1Crédito Inicial 1:Aux 4.5.Crédito 5'!O83)</f>
        <v>0</v>
      </c>
      <c r="E80" s="621">
        <f>SUM('Aux 4.1.1Crédito Inicial 1:Aux 4.5.Crédito 5'!P83)</f>
        <v>0</v>
      </c>
      <c r="F80" s="1093">
        <f>SUM('Aux 4.1.1Crédito Inicial 1:Aux 4.5.Crédito 5'!Q83)</f>
        <v>0</v>
      </c>
      <c r="G80" s="1145"/>
    </row>
  </sheetData>
  <sheetProtection sheet="1" formatColumns="0" formatRows="0"/>
  <mergeCells count="15">
    <mergeCell ref="R15:R16"/>
    <mergeCell ref="N15:N16"/>
    <mergeCell ref="O15:O16"/>
    <mergeCell ref="M15:M16"/>
    <mergeCell ref="H15:H16"/>
    <mergeCell ref="B69:B80"/>
    <mergeCell ref="J15:J16"/>
    <mergeCell ref="B9:B20"/>
    <mergeCell ref="K15:K16"/>
    <mergeCell ref="L15:L16"/>
    <mergeCell ref="B57:B68"/>
    <mergeCell ref="B21:B32"/>
    <mergeCell ref="B33:B44"/>
    <mergeCell ref="B45:B56"/>
    <mergeCell ref="I15:I16"/>
  </mergeCells>
  <phoneticPr fontId="9" type="noConversion"/>
  <dataValidations xWindow="696" yWindow="555" count="2">
    <dataValidation allowBlank="1" showInputMessage="1" showErrorMessage="1" error="Solo valores enteros comprendidos entre 1 y 5" sqref="F6:F7"/>
    <dataValidation allowBlank="1" showInputMessage="1" sqref="N18:O22 R18:R22 J18:J22 K18:M22"/>
  </dataValidations>
  <printOptions horizontalCentered="1" verticalCentered="1"/>
  <pageMargins left="0.19685039370078741" right="0.31496062992125984" top="0.31496062992125984" bottom="0.31496062992125984" header="0.23622047244094491" footer="0.19685039370078741"/>
  <pageSetup paperSize="9" scale="60" fitToHeight="2" orientation="portrait" horizontalDpi="4294967292" verticalDpi="300" r:id="rId1"/>
  <headerFooter alignWithMargins="0">
    <oddFooter>&amp;A</oddFooter>
  </headerFooter>
  <colBreaks count="1" manualBreakCount="1">
    <brk id="7" max="68"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R80"/>
  <sheetViews>
    <sheetView zoomScale="75" zoomScaleNormal="75" zoomScaleSheetLayoutView="50" workbookViewId="0">
      <selection activeCell="Q8" sqref="Q8"/>
    </sheetView>
  </sheetViews>
  <sheetFormatPr baseColWidth="10" defaultColWidth="11.1640625" defaultRowHeight="16.5"/>
  <cols>
    <col min="1" max="1" width="15.33203125" style="581" customWidth="1"/>
    <col min="2" max="2" width="5.6640625" style="581" customWidth="1"/>
    <col min="3" max="3" width="17.83203125" style="581" customWidth="1"/>
    <col min="4" max="5" width="19" style="581" customWidth="1"/>
    <col min="6" max="6" width="20" style="581" customWidth="1"/>
    <col min="7" max="7" width="13" style="581" customWidth="1"/>
    <col min="8" max="8" width="28.83203125" style="581" customWidth="1"/>
    <col min="9" max="9" width="25.1640625" style="581" customWidth="1"/>
    <col min="10" max="13" width="21.6640625" style="581" customWidth="1"/>
    <col min="14" max="14" width="21.6640625" style="589" customWidth="1"/>
    <col min="15" max="15" width="9.6640625" style="581" customWidth="1"/>
    <col min="16" max="16" width="9" style="581" customWidth="1"/>
    <col min="17" max="17" width="30.1640625" style="581" customWidth="1"/>
    <col min="18" max="18" width="24.6640625" style="581" customWidth="1"/>
    <col min="19" max="16384" width="11.1640625" style="581"/>
  </cols>
  <sheetData>
    <row r="1" spans="1:18" ht="15" customHeight="1">
      <c r="A1" s="637" t="str">
        <f>IF('1.Datos Básicos. Product-Serv'!B5=0,"",'1.Datos Básicos. Product-Serv'!B5)</f>
        <v/>
      </c>
      <c r="B1" s="637"/>
      <c r="C1" s="637"/>
    </row>
    <row r="2" spans="1:18" ht="15" customHeight="1">
      <c r="A2" s="637"/>
      <c r="B2" s="637"/>
      <c r="C2" s="637"/>
    </row>
    <row r="3" spans="1:18" ht="14.25" customHeight="1">
      <c r="C3" s="583"/>
      <c r="M3" s="590"/>
      <c r="N3" s="638"/>
    </row>
    <row r="4" spans="1:18" ht="23.25" customHeight="1">
      <c r="B4" s="1246" t="s">
        <v>617</v>
      </c>
      <c r="C4" s="584"/>
      <c r="D4" s="584"/>
      <c r="E4" s="584"/>
      <c r="F4" s="584"/>
      <c r="M4" s="590"/>
      <c r="N4" s="638"/>
    </row>
    <row r="5" spans="1:18" ht="20.100000000000001" customHeight="1">
      <c r="M5" s="590"/>
      <c r="N5" s="638"/>
    </row>
    <row r="6" spans="1:18" ht="20.100000000000001" customHeight="1">
      <c r="C6" s="585"/>
      <c r="D6" s="590"/>
      <c r="E6" s="590"/>
      <c r="F6" s="639"/>
      <c r="M6" s="590"/>
      <c r="N6" s="590"/>
    </row>
    <row r="7" spans="1:18" ht="23.25" customHeight="1" thickBot="1">
      <c r="B7" s="590"/>
      <c r="C7" s="590"/>
      <c r="D7" s="590"/>
      <c r="E7" s="590"/>
      <c r="F7" s="590"/>
      <c r="G7" s="590"/>
      <c r="H7" s="590"/>
      <c r="I7" s="590"/>
      <c r="J7" s="590"/>
      <c r="K7" s="590"/>
      <c r="L7" s="590"/>
      <c r="M7" s="590"/>
      <c r="N7" s="590"/>
    </row>
    <row r="8" spans="1:18" ht="54.75" customHeight="1" thickTop="1" thickBot="1">
      <c r="B8" s="590"/>
      <c r="C8" s="3192" t="s">
        <v>42</v>
      </c>
      <c r="D8" s="3193" t="s">
        <v>14</v>
      </c>
      <c r="E8" s="3201" t="s">
        <v>454</v>
      </c>
      <c r="F8" s="3202" t="s">
        <v>455</v>
      </c>
      <c r="G8" s="590"/>
      <c r="H8" s="3203" t="s">
        <v>616</v>
      </c>
      <c r="I8" s="3192" t="s">
        <v>456</v>
      </c>
      <c r="J8" s="3193" t="s">
        <v>66</v>
      </c>
      <c r="K8" s="3204" t="s">
        <v>72</v>
      </c>
      <c r="L8" s="3205" t="s">
        <v>457</v>
      </c>
      <c r="M8" s="3199" t="s">
        <v>458</v>
      </c>
      <c r="N8" s="3206" t="s">
        <v>459</v>
      </c>
    </row>
    <row r="9" spans="1:18" ht="15.75" customHeight="1" thickTop="1">
      <c r="B9" s="3729" t="str">
        <f>"1º ej."&amp;'1.Datos Básicos. Product-Serv'!B11</f>
        <v>1º ej.0</v>
      </c>
      <c r="C9" s="643" t="str">
        <f>Enero</f>
        <v>Enero</v>
      </c>
      <c r="D9" s="624">
        <f>SUM('Aux.4.0.Leasing Inicial:Aux 4.5.Leasing 5'!O11)</f>
        <v>0</v>
      </c>
      <c r="E9" s="1146">
        <f>SUM('Aux.4.0.Leasing Inicial:Aux 4.5.Leasing 5'!P11)</f>
        <v>0</v>
      </c>
      <c r="F9" s="1147">
        <f>SUM('Aux.4.0.Leasing Inicial:Aux 4.5.Leasing 5'!Q11)</f>
        <v>0</v>
      </c>
      <c r="G9" s="640"/>
      <c r="H9" s="1255" t="str">
        <f>"1º ej."&amp;'1.Datos Básicos. Product-Serv'!B11</f>
        <v>1º ej.0</v>
      </c>
      <c r="I9" s="649">
        <f>SUM(D9:D20)</f>
        <v>0</v>
      </c>
      <c r="J9" s="650">
        <f>SUM(E9:E20)</f>
        <v>0</v>
      </c>
      <c r="K9" s="650">
        <f>SUM(F9:F20)</f>
        <v>0</v>
      </c>
      <c r="L9" s="1200">
        <f>SUM('Aux.4.0.Leasing Inicial:Aux 4.5.Leasing 5'!R3)*0+(R17+J17+J9)-I9</f>
        <v>0</v>
      </c>
      <c r="M9" s="1201">
        <f>'Aux.4.0.Leasing Inicial'!W11</f>
        <v>0</v>
      </c>
      <c r="N9" s="1202">
        <f>'Aux.4.0.Leasing Inicial'!X11</f>
        <v>0</v>
      </c>
      <c r="O9" s="641">
        <f>SUM(M9:N9)</f>
        <v>0</v>
      </c>
    </row>
    <row r="10" spans="1:18" ht="15.75" customHeight="1">
      <c r="B10" s="3730"/>
      <c r="C10" s="643" t="str">
        <f>'2.Ventas y Cobros (Ej 1º,2º)'!E8</f>
        <v>Febrero</v>
      </c>
      <c r="D10" s="626">
        <f>SUM('Aux.4.0.Leasing Inicial:Aux 4.5.Leasing 5'!O12)</f>
        <v>0</v>
      </c>
      <c r="E10" s="1148">
        <f>SUM('Aux.4.0.Leasing Inicial:Aux 4.5.Leasing 5'!P12)</f>
        <v>0</v>
      </c>
      <c r="F10" s="1149">
        <f>SUM('Aux.4.0.Leasing Inicial:Aux 4.5.Leasing 5'!Q12)</f>
        <v>0</v>
      </c>
      <c r="G10" s="590"/>
      <c r="H10" s="1257" t="str">
        <f>"2º ej."&amp;'1.Datos Básicos. Product-Serv'!E11</f>
        <v>2º ej.1</v>
      </c>
      <c r="I10" s="1258">
        <f>SUM(D21:D32)</f>
        <v>0</v>
      </c>
      <c r="J10" s="1259">
        <f>SUM(E21:E32)</f>
        <v>0</v>
      </c>
      <c r="K10" s="1259">
        <f>SUM(F21:F32)</f>
        <v>0</v>
      </c>
      <c r="L10" s="1260">
        <f>SUM('Aux.4.0.Leasing Inicial:Aux 4.5.Leasing 5'!R4)*0+(K17+J17+R17+J10+J9)-(I9+I10)</f>
        <v>0</v>
      </c>
      <c r="M10" s="1261">
        <f>'Aux.4.0.Leasing Inicial'!W12</f>
        <v>0</v>
      </c>
      <c r="N10" s="1262">
        <f>'Aux.4.0.Leasing Inicial'!X12</f>
        <v>0</v>
      </c>
      <c r="O10" s="641">
        <f>SUM(M10:N10)</f>
        <v>0</v>
      </c>
    </row>
    <row r="11" spans="1:18" ht="15.75" customHeight="1">
      <c r="B11" s="3730"/>
      <c r="C11" s="643" t="str">
        <f>'2.Ventas y Cobros (Ej 1º,2º)'!F8</f>
        <v>Marzo</v>
      </c>
      <c r="D11" s="626">
        <f>SUM('Aux.4.0.Leasing Inicial:Aux 4.5.Leasing 5'!O13)</f>
        <v>0</v>
      </c>
      <c r="E11" s="1148">
        <f>SUM('Aux.4.0.Leasing Inicial:Aux 4.5.Leasing 5'!P13)</f>
        <v>0</v>
      </c>
      <c r="F11" s="1149">
        <f>SUM('Aux.4.0.Leasing Inicial:Aux 4.5.Leasing 5'!Q13)</f>
        <v>0</v>
      </c>
      <c r="G11" s="590"/>
      <c r="H11" s="1257" t="str">
        <f>"3º ej."&amp;'1.Datos Básicos. Product-Serv'!F11</f>
        <v>3º ej.2</v>
      </c>
      <c r="I11" s="1258">
        <f>SUM(D33:D44)</f>
        <v>0</v>
      </c>
      <c r="J11" s="1259">
        <f>SUM(E33:E44)</f>
        <v>0</v>
      </c>
      <c r="K11" s="1259">
        <f>SUM(F33:F44)</f>
        <v>0</v>
      </c>
      <c r="L11" s="1260">
        <f>SUM('Aux.4.0.Leasing Inicial:Aux 4.5.Leasing 5'!R5)*0+(L17+K17+J17+R17+J11+J10+J9)-(I11+I10+I9)</f>
        <v>0</v>
      </c>
      <c r="M11" s="1261">
        <f>'Aux.4.0.Leasing Inicial'!W13</f>
        <v>0</v>
      </c>
      <c r="N11" s="1262">
        <f>'Aux.4.0.Leasing Inicial'!X13</f>
        <v>0</v>
      </c>
      <c r="O11" s="641">
        <f>SUM(M11:N11)</f>
        <v>0</v>
      </c>
    </row>
    <row r="12" spans="1:18" ht="15.75" customHeight="1">
      <c r="B12" s="3730"/>
      <c r="C12" s="643" t="str">
        <f>'2.Ventas y Cobros (Ej 1º,2º)'!G8</f>
        <v>Abril</v>
      </c>
      <c r="D12" s="626">
        <f>SUM('Aux.4.0.Leasing Inicial:Aux 4.5.Leasing 5'!O14)</f>
        <v>0</v>
      </c>
      <c r="E12" s="1148">
        <f>SUM('Aux.4.0.Leasing Inicial:Aux 4.5.Leasing 5'!P14)</f>
        <v>0</v>
      </c>
      <c r="F12" s="1149">
        <f>SUM('Aux.4.0.Leasing Inicial:Aux 4.5.Leasing 5'!Q14)</f>
        <v>0</v>
      </c>
      <c r="G12" s="590"/>
      <c r="H12" s="1257" t="str">
        <f>"4º ej."&amp;'1.Datos Básicos. Product-Serv'!G11</f>
        <v>4º ej.3</v>
      </c>
      <c r="I12" s="1258">
        <f>SUM(D45:D56)</f>
        <v>0</v>
      </c>
      <c r="J12" s="1259">
        <f>SUM(E45:E56)</f>
        <v>0</v>
      </c>
      <c r="K12" s="1259">
        <f>SUM(F45:F56)</f>
        <v>0</v>
      </c>
      <c r="L12" s="1260">
        <f>SUM('Aux.4.0.Leasing Inicial:Aux 4.5.Leasing 5'!R6)*0+(M17+L17+K17+J17+R17+J12+J11+J10+J9)-(I12+I11+I10+I9)</f>
        <v>0</v>
      </c>
      <c r="M12" s="1261">
        <f>'Aux.4.0.Leasing Inicial'!W14</f>
        <v>0</v>
      </c>
      <c r="N12" s="1262">
        <f>'Aux.4.0.Leasing Inicial'!X14</f>
        <v>0</v>
      </c>
      <c r="O12" s="641">
        <f>SUM(M12:N12)</f>
        <v>0</v>
      </c>
    </row>
    <row r="13" spans="1:18" ht="15.75" customHeight="1" thickBot="1">
      <c r="B13" s="3730"/>
      <c r="C13" s="643" t="str">
        <f>'2.Ventas y Cobros (Ej 1º,2º)'!H8</f>
        <v>Mayo</v>
      </c>
      <c r="D13" s="626">
        <f>SUM('Aux.4.0.Leasing Inicial:Aux 4.5.Leasing 5'!O15)</f>
        <v>0</v>
      </c>
      <c r="E13" s="1148">
        <f>SUM('Aux.4.0.Leasing Inicial:Aux 4.5.Leasing 5'!P15)</f>
        <v>0</v>
      </c>
      <c r="F13" s="1149">
        <f>SUM('Aux.4.0.Leasing Inicial:Aux 4.5.Leasing 5'!Q15)</f>
        <v>0</v>
      </c>
      <c r="G13" s="590"/>
      <c r="H13" s="1256" t="str">
        <f>"5º ej."&amp;'1.Datos Básicos. Product-Serv'!H11</f>
        <v>5º ej.4</v>
      </c>
      <c r="I13" s="1131">
        <f>SUM(D57:D68)</f>
        <v>0</v>
      </c>
      <c r="J13" s="1132">
        <f>SUM(E57:E68)</f>
        <v>0</v>
      </c>
      <c r="K13" s="1132">
        <f>SUM(F57:F68)</f>
        <v>0</v>
      </c>
      <c r="L13" s="1203">
        <f>SUM('Aux.4.0.Leasing Inicial:Aux 4.5.Leasing 5'!R7)*0+(N17+M17+L17+K17+J17+R17+J13+J12+J11+J10+J9)-(I13+I12+I11+I10+I9)</f>
        <v>0</v>
      </c>
      <c r="M13" s="1204">
        <f>'Aux.4.0.Leasing Inicial'!W15</f>
        <v>0</v>
      </c>
      <c r="N13" s="1205">
        <f>'Aux.4.0.Leasing Inicial'!X15</f>
        <v>0</v>
      </c>
      <c r="O13" s="641">
        <f>SUM(M13:N13)</f>
        <v>0</v>
      </c>
    </row>
    <row r="14" spans="1:18" ht="15.75" customHeight="1" thickTop="1" thickBot="1">
      <c r="B14" s="3730"/>
      <c r="C14" s="643" t="str">
        <f>'2.Ventas y Cobros (Ej 1º,2º)'!I8</f>
        <v>Junio</v>
      </c>
      <c r="D14" s="626">
        <f>SUM('Aux.4.0.Leasing Inicial:Aux 4.5.Leasing 5'!O16)</f>
        <v>0</v>
      </c>
      <c r="E14" s="1148">
        <f>SUM('Aux.4.0.Leasing Inicial:Aux 4.5.Leasing 5'!P16)</f>
        <v>0</v>
      </c>
      <c r="F14" s="1149">
        <f>SUM('Aux.4.0.Leasing Inicial:Aux 4.5.Leasing 5'!Q16)</f>
        <v>0</v>
      </c>
      <c r="G14" s="590"/>
      <c r="H14" s="602"/>
      <c r="I14" s="1094">
        <f>SUM(D69:D80)</f>
        <v>0</v>
      </c>
      <c r="J14" s="1094">
        <f>SUM(E69:E80)</f>
        <v>0</v>
      </c>
      <c r="K14" s="1094">
        <f>SUM(F69:F80)</f>
        <v>0</v>
      </c>
      <c r="L14" s="1278">
        <f>SUM('Aux.4.0.Leasing Inicial:Aux 4.5.Leasing 5'!R8)</f>
        <v>0</v>
      </c>
      <c r="M14" s="1279"/>
      <c r="N14" s="1279"/>
      <c r="O14" s="1096"/>
    </row>
    <row r="15" spans="1:18" ht="18" customHeight="1" thickTop="1">
      <c r="B15" s="3730"/>
      <c r="C15" s="643" t="str">
        <f>'2.Ventas y Cobros (Ej 1º,2º)'!J8</f>
        <v>Julio</v>
      </c>
      <c r="D15" s="626">
        <f>SUM('Aux.4.0.Leasing Inicial:Aux 4.5.Leasing 5'!O17)</f>
        <v>0</v>
      </c>
      <c r="E15" s="1148">
        <f>SUM('Aux.4.0.Leasing Inicial:Aux 4.5.Leasing 5'!P17)</f>
        <v>0</v>
      </c>
      <c r="F15" s="1149">
        <f>SUM('Aux.4.0.Leasing Inicial:Aux 4.5.Leasing 5'!Q17)</f>
        <v>0</v>
      </c>
      <c r="G15" s="590"/>
      <c r="H15" s="3741" t="s">
        <v>85</v>
      </c>
      <c r="I15" s="3735"/>
      <c r="J15" s="3750" t="str">
        <f>"1º ejerc."&amp;'1.Datos Básicos. Product-Serv'!B11</f>
        <v>1º ejerc.0</v>
      </c>
      <c r="K15" s="3743" t="str">
        <f>"2º ejerc."&amp;'1.Datos Básicos. Product-Serv'!E11</f>
        <v>2º ejerc.1</v>
      </c>
      <c r="L15" s="3743" t="str">
        <f>"3º ejerc."&amp;'1.Datos Básicos. Product-Serv'!F11</f>
        <v>3º ejerc.2</v>
      </c>
      <c r="M15" s="3743" t="str">
        <f>"4º ejerc."&amp;'1.Datos Básicos. Product-Serv'!G11</f>
        <v>4º ejerc.3</v>
      </c>
      <c r="N15" s="3746" t="str">
        <f>"5º ejerc."&amp;'1.Datos Básicos. Product-Serv'!H11</f>
        <v>5º ejerc.4</v>
      </c>
      <c r="Q15" s="3741" t="s">
        <v>545</v>
      </c>
      <c r="R15" s="3748" t="str">
        <f>IF('1.Datos Básicos. Product-Serv'!B19="SI","Valor a Final Ejerc. "&amp;Año_Com_Ejerc_0,"Leasing Inico 1º ej.")</f>
        <v>Leasing Inico 1º ej.</v>
      </c>
    </row>
    <row r="16" spans="1:18" ht="15.75" customHeight="1" thickBot="1">
      <c r="B16" s="3730"/>
      <c r="C16" s="643" t="str">
        <f>'2.Ventas y Cobros (Ej 1º,2º)'!K8</f>
        <v>Agosto</v>
      </c>
      <c r="D16" s="626">
        <f>SUM('Aux.4.0.Leasing Inicial:Aux 4.5.Leasing 5'!O18)</f>
        <v>0</v>
      </c>
      <c r="E16" s="1148">
        <f>SUM('Aux.4.0.Leasing Inicial:Aux 4.5.Leasing 5'!P18)</f>
        <v>0</v>
      </c>
      <c r="F16" s="1149">
        <f>SUM('Aux.4.0.Leasing Inicial:Aux 4.5.Leasing 5'!Q18)</f>
        <v>0</v>
      </c>
      <c r="G16" s="590"/>
      <c r="H16" s="3752"/>
      <c r="I16" s="3745"/>
      <c r="J16" s="3751"/>
      <c r="K16" s="3744"/>
      <c r="L16" s="3744"/>
      <c r="M16" s="3744"/>
      <c r="N16" s="3747"/>
      <c r="Q16" s="3752"/>
      <c r="R16" s="3749"/>
    </row>
    <row r="17" spans="2:18" ht="15.75" customHeight="1" thickTop="1">
      <c r="B17" s="3730"/>
      <c r="C17" s="643" t="str">
        <f>'2.Ventas y Cobros (Ej 1º,2º)'!L8</f>
        <v>Septiembre</v>
      </c>
      <c r="D17" s="626">
        <f>SUM('Aux.4.0.Leasing Inicial:Aux 4.5.Leasing 5'!O19)</f>
        <v>0</v>
      </c>
      <c r="E17" s="1148">
        <f>SUM('Aux.4.0.Leasing Inicial:Aux 4.5.Leasing 5'!P19)</f>
        <v>0</v>
      </c>
      <c r="F17" s="1149">
        <f>SUM('Aux.4.0.Leasing Inicial:Aux 4.5.Leasing 5'!Q19)</f>
        <v>0</v>
      </c>
      <c r="G17" s="590"/>
      <c r="H17" s="656" t="s">
        <v>618</v>
      </c>
      <c r="I17" s="1301"/>
      <c r="J17" s="1270">
        <f>'7. Plan Invers-Financ (1º,2º)'!AA63</f>
        <v>0</v>
      </c>
      <c r="K17" s="651">
        <f>'7. Plan Invers-Financ (1º,2º)'!AL63</f>
        <v>0</v>
      </c>
      <c r="L17" s="651">
        <f>'7. Plan Invers-Financ (1º,2º)'!AV63</f>
        <v>0</v>
      </c>
      <c r="M17" s="651">
        <f>'7. Plan Invers-Financ (1º,2º)'!AY63</f>
        <v>0</v>
      </c>
      <c r="N17" s="652">
        <f>'7. Plan Invers-Financ (1º,2º)'!BB63</f>
        <v>0</v>
      </c>
      <c r="Q17" s="1349" t="s">
        <v>546</v>
      </c>
      <c r="R17" s="1348">
        <f>'(0) 1b. Pasivos de Partida'!B21</f>
        <v>0</v>
      </c>
    </row>
    <row r="18" spans="2:18" ht="15.75" customHeight="1">
      <c r="B18" s="3730"/>
      <c r="C18" s="643" t="str">
        <f>'2.Ventas y Cobros (Ej 1º,2º)'!M8</f>
        <v>Octubre</v>
      </c>
      <c r="D18" s="626">
        <f>SUM('Aux.4.0.Leasing Inicial:Aux 4.5.Leasing 5'!O20)</f>
        <v>0</v>
      </c>
      <c r="E18" s="1148">
        <f>SUM('Aux.4.0.Leasing Inicial:Aux 4.5.Leasing 5'!P20)</f>
        <v>0</v>
      </c>
      <c r="F18" s="1149">
        <f>SUM('Aux.4.0.Leasing Inicial:Aux 4.5.Leasing 5'!Q20)</f>
        <v>0</v>
      </c>
      <c r="G18" s="590"/>
      <c r="H18" s="656" t="s">
        <v>9</v>
      </c>
      <c r="I18" s="1301"/>
      <c r="J18" s="2618">
        <f>'7. Plan Invers-Financ (1º,2º)'!AD25</f>
        <v>0.05</v>
      </c>
      <c r="K18" s="2622">
        <f>'7. Plan Invers-Financ (1º,2º)'!AO25</f>
        <v>0.05</v>
      </c>
      <c r="L18" s="2506">
        <v>0.05</v>
      </c>
      <c r="M18" s="2506">
        <v>0.05</v>
      </c>
      <c r="N18" s="2507">
        <v>0.05</v>
      </c>
      <c r="Q18" s="656" t="s">
        <v>9</v>
      </c>
      <c r="R18" s="1583">
        <v>0.05</v>
      </c>
    </row>
    <row r="19" spans="2:18" ht="15.75" customHeight="1">
      <c r="B19" s="3730"/>
      <c r="C19" s="643" t="str">
        <f>'2.Ventas y Cobros (Ej 1º,2º)'!N8</f>
        <v>Noviembre</v>
      </c>
      <c r="D19" s="626">
        <f>SUM('Aux.4.0.Leasing Inicial:Aux 4.5.Leasing 5'!O21)</f>
        <v>0</v>
      </c>
      <c r="E19" s="1148">
        <f>SUM('Aux.4.0.Leasing Inicial:Aux 4.5.Leasing 5'!P21)</f>
        <v>0</v>
      </c>
      <c r="F19" s="1149">
        <f>SUM('Aux.4.0.Leasing Inicial:Aux 4.5.Leasing 5'!Q21)</f>
        <v>0</v>
      </c>
      <c r="G19" s="590"/>
      <c r="H19" s="656" t="str">
        <f>IF(Consolidación?="SI","Años Restantes","Años")</f>
        <v>Años</v>
      </c>
      <c r="I19" s="1301"/>
      <c r="J19" s="2619">
        <f>'7. Plan Invers-Financ (1º,2º)'!AE25</f>
        <v>4</v>
      </c>
      <c r="K19" s="2623">
        <f>'7. Plan Invers-Financ (1º,2º)'!AP25</f>
        <v>4</v>
      </c>
      <c r="L19" s="2508">
        <v>4</v>
      </c>
      <c r="M19" s="2508">
        <v>4</v>
      </c>
      <c r="N19" s="2509">
        <v>4</v>
      </c>
      <c r="Q19" s="656" t="str">
        <f>IF(Consolidación?="SI","Años Restantes","Años")</f>
        <v>Años</v>
      </c>
      <c r="R19" s="1584">
        <v>10</v>
      </c>
    </row>
    <row r="20" spans="2:18" ht="15.75" customHeight="1" thickBot="1">
      <c r="B20" s="3731"/>
      <c r="C20" s="644" t="str">
        <f>'2.Ventas y Cobros (Ej 1º,2º)'!O8</f>
        <v>Diciembre</v>
      </c>
      <c r="D20" s="645">
        <f>SUM('Aux.4.0.Leasing Inicial:Aux 4.5.Leasing 5'!O22)</f>
        <v>0</v>
      </c>
      <c r="E20" s="1150">
        <f>SUM('Aux.4.0.Leasing Inicial:Aux 4.5.Leasing 5'!P22)</f>
        <v>0</v>
      </c>
      <c r="F20" s="1151">
        <f>SUM('Aux.4.0.Leasing Inicial:Aux 4.5.Leasing 5'!Q22)</f>
        <v>0</v>
      </c>
      <c r="G20" s="632"/>
      <c r="H20" s="656" t="s">
        <v>218</v>
      </c>
      <c r="I20" s="1301"/>
      <c r="J20" s="2620">
        <f>'7. Plan Invers-Financ (1º,2º)'!AF25</f>
        <v>12</v>
      </c>
      <c r="K20" s="2624">
        <f>'7. Plan Invers-Financ (1º,2º)'!AQ25</f>
        <v>12</v>
      </c>
      <c r="L20" s="2510">
        <v>12</v>
      </c>
      <c r="M20" s="2510">
        <v>12</v>
      </c>
      <c r="N20" s="2511">
        <v>12</v>
      </c>
      <c r="Q20" s="656" t="s">
        <v>218</v>
      </c>
      <c r="R20" s="1585">
        <v>12</v>
      </c>
    </row>
    <row r="21" spans="2:18" ht="15.75" customHeight="1" thickBot="1">
      <c r="B21" s="3753" t="str">
        <f>"2º ej."&amp;'1.Datos Básicos. Product-Serv'!E11</f>
        <v>2º ej.1</v>
      </c>
      <c r="C21" s="643" t="str">
        <f>C9</f>
        <v>Enero</v>
      </c>
      <c r="D21" s="626">
        <f>SUM('Aux.4.0.Leasing Inicial:Aux 4.5.Leasing 5'!O23)</f>
        <v>0</v>
      </c>
      <c r="E21" s="1148">
        <f>SUM('Aux.4.0.Leasing Inicial:Aux 4.5.Leasing 5'!P23)</f>
        <v>0</v>
      </c>
      <c r="F21" s="1149">
        <f>SUM('Aux.4.0.Leasing Inicial:Aux 4.5.Leasing 5'!Q23)</f>
        <v>0</v>
      </c>
      <c r="G21" s="590"/>
      <c r="H21" s="1300" t="s">
        <v>224</v>
      </c>
      <c r="I21" s="1302"/>
      <c r="J21" s="2621">
        <f>'7. Plan Invers-Financ (1º,2º)'!AG25</f>
        <v>0</v>
      </c>
      <c r="K21" s="2625">
        <f>'7. Plan Invers-Financ (1º,2º)'!AR25</f>
        <v>0</v>
      </c>
      <c r="L21" s="2512">
        <v>0</v>
      </c>
      <c r="M21" s="2512">
        <v>0</v>
      </c>
      <c r="N21" s="2513">
        <v>0</v>
      </c>
      <c r="Q21" s="1300" t="s">
        <v>224</v>
      </c>
      <c r="R21" s="1586">
        <v>0</v>
      </c>
    </row>
    <row r="22" spans="2:18" ht="15.75" customHeight="1" thickTop="1">
      <c r="B22" s="3730"/>
      <c r="C22" s="643" t="str">
        <f>C10</f>
        <v>Febrero</v>
      </c>
      <c r="D22" s="626">
        <f>SUM('Aux.4.0.Leasing Inicial:Aux 4.5.Leasing 5'!O24)</f>
        <v>0</v>
      </c>
      <c r="E22" s="1148">
        <f>SUM('Aux.4.0.Leasing Inicial:Aux 4.5.Leasing 5'!P24)</f>
        <v>0</v>
      </c>
      <c r="F22" s="1149">
        <f>SUM('Aux.4.0.Leasing Inicial:Aux 4.5.Leasing 5'!Q24)</f>
        <v>0</v>
      </c>
      <c r="G22" s="590"/>
      <c r="H22" s="589"/>
      <c r="J22" s="633"/>
      <c r="K22" s="633"/>
      <c r="L22" s="633"/>
      <c r="M22" s="633"/>
      <c r="N22" s="633"/>
      <c r="Q22" s="1384"/>
      <c r="R22" s="1588" t="s">
        <v>523</v>
      </c>
    </row>
    <row r="23" spans="2:18" ht="15.75" customHeight="1">
      <c r="B23" s="3730"/>
      <c r="C23" s="643" t="str">
        <f t="shared" ref="C23:C32" si="0">C11</f>
        <v>Marzo</v>
      </c>
      <c r="D23" s="626">
        <f>SUM('Aux.4.0.Leasing Inicial:Aux 4.5.Leasing 5'!O25)</f>
        <v>0</v>
      </c>
      <c r="E23" s="1148">
        <f>SUM('Aux.4.0.Leasing Inicial:Aux 4.5.Leasing 5'!P25)</f>
        <v>0</v>
      </c>
      <c r="F23" s="1149">
        <f>SUM('Aux.4.0.Leasing Inicial:Aux 4.5.Leasing 5'!Q25)</f>
        <v>0</v>
      </c>
      <c r="G23" s="590"/>
      <c r="H23" s="642"/>
      <c r="I23" s="442"/>
      <c r="J23" s="442"/>
      <c r="K23" s="442"/>
      <c r="L23" s="442"/>
      <c r="M23" s="442"/>
      <c r="N23" s="442"/>
    </row>
    <row r="24" spans="2:18" ht="15.75" customHeight="1">
      <c r="B24" s="3730"/>
      <c r="C24" s="643" t="str">
        <f t="shared" si="0"/>
        <v>Abril</v>
      </c>
      <c r="D24" s="626">
        <f>SUM('Aux.4.0.Leasing Inicial:Aux 4.5.Leasing 5'!O26)</f>
        <v>0</v>
      </c>
      <c r="E24" s="1148">
        <f>SUM('Aux.4.0.Leasing Inicial:Aux 4.5.Leasing 5'!P26)</f>
        <v>0</v>
      </c>
      <c r="F24" s="1149">
        <f>SUM('Aux.4.0.Leasing Inicial:Aux 4.5.Leasing 5'!Q26)</f>
        <v>0</v>
      </c>
      <c r="G24" s="590"/>
      <c r="H24" s="603" t="s">
        <v>495</v>
      </c>
      <c r="I24" s="442"/>
      <c r="J24" s="442"/>
      <c r="K24" s="442"/>
      <c r="L24" s="442"/>
      <c r="M24" s="442"/>
      <c r="N24" s="442"/>
    </row>
    <row r="25" spans="2:18" ht="15.75" customHeight="1">
      <c r="B25" s="3730"/>
      <c r="C25" s="643" t="str">
        <f t="shared" si="0"/>
        <v>Mayo</v>
      </c>
      <c r="D25" s="626">
        <f>SUM('Aux.4.0.Leasing Inicial:Aux 4.5.Leasing 5'!O27)</f>
        <v>0</v>
      </c>
      <c r="E25" s="1148">
        <f>SUM('Aux.4.0.Leasing Inicial:Aux 4.5.Leasing 5'!P27)</f>
        <v>0</v>
      </c>
      <c r="F25" s="1149">
        <f>SUM('Aux.4.0.Leasing Inicial:Aux 4.5.Leasing 5'!Q27)</f>
        <v>0</v>
      </c>
      <c r="G25" s="590"/>
      <c r="H25" s="603" t="s">
        <v>488</v>
      </c>
      <c r="I25" s="442"/>
      <c r="J25" s="442"/>
      <c r="K25" s="442"/>
      <c r="L25" s="442"/>
      <c r="M25" s="442"/>
      <c r="N25" s="442"/>
    </row>
    <row r="26" spans="2:18" ht="15.75" customHeight="1">
      <c r="B26" s="3730"/>
      <c r="C26" s="643" t="str">
        <f t="shared" si="0"/>
        <v>Junio</v>
      </c>
      <c r="D26" s="626">
        <f>SUM('Aux.4.0.Leasing Inicial:Aux 4.5.Leasing 5'!O28)</f>
        <v>0</v>
      </c>
      <c r="E26" s="1148">
        <f>SUM('Aux.4.0.Leasing Inicial:Aux 4.5.Leasing 5'!P28)</f>
        <v>0</v>
      </c>
      <c r="F26" s="1149">
        <f>SUM('Aux.4.0.Leasing Inicial:Aux 4.5.Leasing 5'!Q28)</f>
        <v>0</v>
      </c>
      <c r="G26" s="590"/>
      <c r="H26" s="603"/>
      <c r="N26" s="581"/>
    </row>
    <row r="27" spans="2:18" ht="15.75" customHeight="1">
      <c r="B27" s="3730"/>
      <c r="C27" s="643" t="str">
        <f t="shared" si="0"/>
        <v>Julio</v>
      </c>
      <c r="D27" s="626">
        <f>SUM('Aux.4.0.Leasing Inicial:Aux 4.5.Leasing 5'!O29)</f>
        <v>0</v>
      </c>
      <c r="E27" s="1148">
        <f>SUM('Aux.4.0.Leasing Inicial:Aux 4.5.Leasing 5'!P29)</f>
        <v>0</v>
      </c>
      <c r="F27" s="1149">
        <f>SUM('Aux.4.0.Leasing Inicial:Aux 4.5.Leasing 5'!Q29)</f>
        <v>0</v>
      </c>
      <c r="G27" s="590"/>
      <c r="H27" s="603"/>
      <c r="N27" s="581"/>
    </row>
    <row r="28" spans="2:18" ht="15.75" customHeight="1">
      <c r="B28" s="3730"/>
      <c r="C28" s="643" t="str">
        <f t="shared" si="0"/>
        <v>Agosto</v>
      </c>
      <c r="D28" s="626">
        <f>SUM('Aux.4.0.Leasing Inicial:Aux 4.5.Leasing 5'!O30)</f>
        <v>0</v>
      </c>
      <c r="E28" s="1148">
        <f>SUM('Aux.4.0.Leasing Inicial:Aux 4.5.Leasing 5'!P30)</f>
        <v>0</v>
      </c>
      <c r="F28" s="1149">
        <f>SUM('Aux.4.0.Leasing Inicial:Aux 4.5.Leasing 5'!Q30)</f>
        <v>0</v>
      </c>
      <c r="G28" s="590"/>
      <c r="H28" s="589"/>
      <c r="N28" s="581"/>
    </row>
    <row r="29" spans="2:18" ht="15.75" customHeight="1">
      <c r="B29" s="3730"/>
      <c r="C29" s="643" t="str">
        <f t="shared" si="0"/>
        <v>Septiembre</v>
      </c>
      <c r="D29" s="626">
        <f>SUM('Aux.4.0.Leasing Inicial:Aux 4.5.Leasing 5'!O31)</f>
        <v>0</v>
      </c>
      <c r="E29" s="1148">
        <f>SUM('Aux.4.0.Leasing Inicial:Aux 4.5.Leasing 5'!P31)</f>
        <v>0</v>
      </c>
      <c r="F29" s="1149">
        <f>SUM('Aux.4.0.Leasing Inicial:Aux 4.5.Leasing 5'!Q31)</f>
        <v>0</v>
      </c>
      <c r="G29" s="590"/>
      <c r="H29" s="589"/>
      <c r="N29" s="581"/>
    </row>
    <row r="30" spans="2:18" ht="15.75" customHeight="1">
      <c r="B30" s="3730"/>
      <c r="C30" s="643" t="str">
        <f t="shared" si="0"/>
        <v>Octubre</v>
      </c>
      <c r="D30" s="626">
        <f>SUM('Aux.4.0.Leasing Inicial:Aux 4.5.Leasing 5'!O32)</f>
        <v>0</v>
      </c>
      <c r="E30" s="1148">
        <f>SUM('Aux.4.0.Leasing Inicial:Aux 4.5.Leasing 5'!P32)</f>
        <v>0</v>
      </c>
      <c r="F30" s="1149">
        <f>SUM('Aux.4.0.Leasing Inicial:Aux 4.5.Leasing 5'!Q32)</f>
        <v>0</v>
      </c>
      <c r="G30" s="590"/>
      <c r="H30" s="589"/>
      <c r="N30" s="581"/>
    </row>
    <row r="31" spans="2:18" ht="15.75" customHeight="1">
      <c r="B31" s="3730"/>
      <c r="C31" s="643" t="str">
        <f t="shared" si="0"/>
        <v>Noviembre</v>
      </c>
      <c r="D31" s="626">
        <f>SUM('Aux.4.0.Leasing Inicial:Aux 4.5.Leasing 5'!O33)</f>
        <v>0</v>
      </c>
      <c r="E31" s="1148">
        <f>SUM('Aux.4.0.Leasing Inicial:Aux 4.5.Leasing 5'!P33)</f>
        <v>0</v>
      </c>
      <c r="F31" s="1149">
        <f>SUM('Aux.4.0.Leasing Inicial:Aux 4.5.Leasing 5'!Q33)</f>
        <v>0</v>
      </c>
      <c r="G31" s="590"/>
      <c r="H31" s="589"/>
      <c r="N31" s="581"/>
    </row>
    <row r="32" spans="2:18" ht="15.75" customHeight="1" thickBot="1">
      <c r="B32" s="3731"/>
      <c r="C32" s="643" t="str">
        <f t="shared" si="0"/>
        <v>Diciembre</v>
      </c>
      <c r="D32" s="645">
        <f>SUM('Aux.4.0.Leasing Inicial:Aux 4.5.Leasing 5'!O34)</f>
        <v>0</v>
      </c>
      <c r="E32" s="1150">
        <f>SUM('Aux.4.0.Leasing Inicial:Aux 4.5.Leasing 5'!P34)</f>
        <v>0</v>
      </c>
      <c r="F32" s="1151">
        <f>SUM('Aux.4.0.Leasing Inicial:Aux 4.5.Leasing 5'!Q34)</f>
        <v>0</v>
      </c>
      <c r="G32" s="632"/>
      <c r="H32" s="589"/>
      <c r="N32" s="581"/>
    </row>
    <row r="33" spans="2:14" ht="15.75" customHeight="1">
      <c r="B33" s="3729" t="str">
        <f>"3º ej."&amp;'1.Datos Básicos. Product-Serv'!F11</f>
        <v>3º ej.2</v>
      </c>
      <c r="C33" s="646" t="str">
        <f>C9</f>
        <v>Enero</v>
      </c>
      <c r="D33" s="626">
        <f>SUM('Aux.4.0.Leasing Inicial:Aux 4.5.Leasing 5'!O35)</f>
        <v>0</v>
      </c>
      <c r="E33" s="1148">
        <f>SUM('Aux.4.0.Leasing Inicial:Aux 4.5.Leasing 5'!P35)</f>
        <v>0</v>
      </c>
      <c r="F33" s="1149">
        <f>SUM('Aux.4.0.Leasing Inicial:Aux 4.5.Leasing 5'!Q35)</f>
        <v>0</v>
      </c>
      <c r="G33" s="590"/>
      <c r="H33" s="589"/>
      <c r="N33" s="581"/>
    </row>
    <row r="34" spans="2:14" ht="15.75" customHeight="1">
      <c r="B34" s="3730"/>
      <c r="C34" s="643" t="str">
        <f>C10</f>
        <v>Febrero</v>
      </c>
      <c r="D34" s="626">
        <f>SUM('Aux.4.0.Leasing Inicial:Aux 4.5.Leasing 5'!O36)</f>
        <v>0</v>
      </c>
      <c r="E34" s="1148">
        <f>SUM('Aux.4.0.Leasing Inicial:Aux 4.5.Leasing 5'!P36)</f>
        <v>0</v>
      </c>
      <c r="F34" s="1149">
        <f>SUM('Aux.4.0.Leasing Inicial:Aux 4.5.Leasing 5'!Q36)</f>
        <v>0</v>
      </c>
      <c r="G34" s="590"/>
      <c r="H34" s="589"/>
      <c r="N34" s="581"/>
    </row>
    <row r="35" spans="2:14" ht="15.75" customHeight="1">
      <c r="B35" s="3730"/>
      <c r="C35" s="643" t="str">
        <f t="shared" ref="C35:C44" si="1">C11</f>
        <v>Marzo</v>
      </c>
      <c r="D35" s="626">
        <f>SUM('Aux.4.0.Leasing Inicial:Aux 4.5.Leasing 5'!O37)</f>
        <v>0</v>
      </c>
      <c r="E35" s="1148">
        <f>SUM('Aux.4.0.Leasing Inicial:Aux 4.5.Leasing 5'!P37)</f>
        <v>0</v>
      </c>
      <c r="F35" s="1149">
        <f>SUM('Aux.4.0.Leasing Inicial:Aux 4.5.Leasing 5'!Q37)</f>
        <v>0</v>
      </c>
      <c r="G35" s="590"/>
      <c r="H35" s="589"/>
      <c r="N35" s="581"/>
    </row>
    <row r="36" spans="2:14" ht="15.75" customHeight="1">
      <c r="B36" s="3730"/>
      <c r="C36" s="643" t="str">
        <f t="shared" si="1"/>
        <v>Abril</v>
      </c>
      <c r="D36" s="626">
        <f>SUM('Aux.4.0.Leasing Inicial:Aux 4.5.Leasing 5'!O38)</f>
        <v>0</v>
      </c>
      <c r="E36" s="1148">
        <f>SUM('Aux.4.0.Leasing Inicial:Aux 4.5.Leasing 5'!P38)</f>
        <v>0</v>
      </c>
      <c r="F36" s="1149">
        <f>SUM('Aux.4.0.Leasing Inicial:Aux 4.5.Leasing 5'!Q38)</f>
        <v>0</v>
      </c>
      <c r="G36" s="590"/>
      <c r="H36" s="589"/>
      <c r="N36" s="581"/>
    </row>
    <row r="37" spans="2:14" ht="15.75" customHeight="1">
      <c r="B37" s="3730"/>
      <c r="C37" s="643" t="str">
        <f t="shared" si="1"/>
        <v>Mayo</v>
      </c>
      <c r="D37" s="626">
        <f>SUM('Aux.4.0.Leasing Inicial:Aux 4.5.Leasing 5'!O39)</f>
        <v>0</v>
      </c>
      <c r="E37" s="1148">
        <f>SUM('Aux.4.0.Leasing Inicial:Aux 4.5.Leasing 5'!P39)</f>
        <v>0</v>
      </c>
      <c r="F37" s="1149">
        <f>SUM('Aux.4.0.Leasing Inicial:Aux 4.5.Leasing 5'!Q39)</f>
        <v>0</v>
      </c>
      <c r="G37" s="590"/>
      <c r="H37" s="589"/>
      <c r="N37" s="581"/>
    </row>
    <row r="38" spans="2:14" ht="15.75" customHeight="1">
      <c r="B38" s="3730"/>
      <c r="C38" s="643" t="str">
        <f t="shared" si="1"/>
        <v>Junio</v>
      </c>
      <c r="D38" s="626">
        <f>SUM('Aux.4.0.Leasing Inicial:Aux 4.5.Leasing 5'!O40)</f>
        <v>0</v>
      </c>
      <c r="E38" s="1148">
        <f>SUM('Aux.4.0.Leasing Inicial:Aux 4.5.Leasing 5'!P40)</f>
        <v>0</v>
      </c>
      <c r="F38" s="1149">
        <f>SUM('Aux.4.0.Leasing Inicial:Aux 4.5.Leasing 5'!Q40)</f>
        <v>0</v>
      </c>
      <c r="G38" s="590"/>
      <c r="H38" s="589"/>
      <c r="N38" s="581"/>
    </row>
    <row r="39" spans="2:14" ht="15.75" customHeight="1">
      <c r="B39" s="3730"/>
      <c r="C39" s="643" t="str">
        <f t="shared" si="1"/>
        <v>Julio</v>
      </c>
      <c r="D39" s="626">
        <f>SUM('Aux.4.0.Leasing Inicial:Aux 4.5.Leasing 5'!O41)</f>
        <v>0</v>
      </c>
      <c r="E39" s="1148">
        <f>SUM('Aux.4.0.Leasing Inicial:Aux 4.5.Leasing 5'!P41)</f>
        <v>0</v>
      </c>
      <c r="F39" s="1149">
        <f>SUM('Aux.4.0.Leasing Inicial:Aux 4.5.Leasing 5'!Q41)</f>
        <v>0</v>
      </c>
      <c r="G39" s="590"/>
      <c r="H39" s="589"/>
      <c r="N39" s="581"/>
    </row>
    <row r="40" spans="2:14" ht="15.75" customHeight="1">
      <c r="B40" s="3730"/>
      <c r="C40" s="643" t="str">
        <f t="shared" si="1"/>
        <v>Agosto</v>
      </c>
      <c r="D40" s="626">
        <f>SUM('Aux.4.0.Leasing Inicial:Aux 4.5.Leasing 5'!O42)</f>
        <v>0</v>
      </c>
      <c r="E40" s="1148">
        <f>SUM('Aux.4.0.Leasing Inicial:Aux 4.5.Leasing 5'!P42)</f>
        <v>0</v>
      </c>
      <c r="F40" s="1149">
        <f>SUM('Aux.4.0.Leasing Inicial:Aux 4.5.Leasing 5'!Q42)</f>
        <v>0</v>
      </c>
      <c r="G40" s="590"/>
      <c r="H40" s="589"/>
      <c r="N40" s="581"/>
    </row>
    <row r="41" spans="2:14" ht="15.75" customHeight="1">
      <c r="B41" s="3730"/>
      <c r="C41" s="643" t="str">
        <f t="shared" si="1"/>
        <v>Septiembre</v>
      </c>
      <c r="D41" s="626">
        <f>SUM('Aux.4.0.Leasing Inicial:Aux 4.5.Leasing 5'!O43)</f>
        <v>0</v>
      </c>
      <c r="E41" s="1148">
        <f>SUM('Aux.4.0.Leasing Inicial:Aux 4.5.Leasing 5'!P43)</f>
        <v>0</v>
      </c>
      <c r="F41" s="1149">
        <f>SUM('Aux.4.0.Leasing Inicial:Aux 4.5.Leasing 5'!Q43)</f>
        <v>0</v>
      </c>
      <c r="G41" s="590"/>
      <c r="H41" s="589"/>
      <c r="N41" s="581"/>
    </row>
    <row r="42" spans="2:14" ht="15.75" customHeight="1">
      <c r="B42" s="3730"/>
      <c r="C42" s="643" t="str">
        <f t="shared" si="1"/>
        <v>Octubre</v>
      </c>
      <c r="D42" s="626">
        <f>SUM('Aux.4.0.Leasing Inicial:Aux 4.5.Leasing 5'!O44)</f>
        <v>0</v>
      </c>
      <c r="E42" s="1148">
        <f>SUM('Aux.4.0.Leasing Inicial:Aux 4.5.Leasing 5'!P44)</f>
        <v>0</v>
      </c>
      <c r="F42" s="1149">
        <f>SUM('Aux.4.0.Leasing Inicial:Aux 4.5.Leasing 5'!Q44)</f>
        <v>0</v>
      </c>
      <c r="G42" s="590"/>
      <c r="H42" s="589"/>
      <c r="N42" s="581"/>
    </row>
    <row r="43" spans="2:14" ht="15.75" customHeight="1">
      <c r="B43" s="3730"/>
      <c r="C43" s="643" t="str">
        <f t="shared" si="1"/>
        <v>Noviembre</v>
      </c>
      <c r="D43" s="626">
        <f>SUM('Aux.4.0.Leasing Inicial:Aux 4.5.Leasing 5'!O45)</f>
        <v>0</v>
      </c>
      <c r="E43" s="1148">
        <f>SUM('Aux.4.0.Leasing Inicial:Aux 4.5.Leasing 5'!P45)</f>
        <v>0</v>
      </c>
      <c r="F43" s="1149">
        <f>SUM('Aux.4.0.Leasing Inicial:Aux 4.5.Leasing 5'!Q45)</f>
        <v>0</v>
      </c>
      <c r="G43" s="590"/>
      <c r="H43" s="589"/>
      <c r="N43" s="581"/>
    </row>
    <row r="44" spans="2:14" ht="15.75" customHeight="1" thickBot="1">
      <c r="B44" s="3731"/>
      <c r="C44" s="643" t="str">
        <f t="shared" si="1"/>
        <v>Diciembre</v>
      </c>
      <c r="D44" s="645">
        <f>SUM('Aux.4.0.Leasing Inicial:Aux 4.5.Leasing 5'!O46)</f>
        <v>0</v>
      </c>
      <c r="E44" s="1150">
        <f>SUM('Aux.4.0.Leasing Inicial:Aux 4.5.Leasing 5'!P46)</f>
        <v>0</v>
      </c>
      <c r="F44" s="1151">
        <f>SUM('Aux.4.0.Leasing Inicial:Aux 4.5.Leasing 5'!Q46)</f>
        <v>0</v>
      </c>
      <c r="G44" s="632"/>
      <c r="H44" s="589"/>
      <c r="N44" s="581"/>
    </row>
    <row r="45" spans="2:14" ht="15.75" customHeight="1">
      <c r="B45" s="3729" t="str">
        <f>"4º ej."&amp;'1.Datos Básicos. Product-Serv'!G11</f>
        <v>4º ej.3</v>
      </c>
      <c r="C45" s="646" t="str">
        <f>C9</f>
        <v>Enero</v>
      </c>
      <c r="D45" s="626">
        <f>SUM('Aux.4.0.Leasing Inicial:Aux 4.5.Leasing 5'!O47)</f>
        <v>0</v>
      </c>
      <c r="E45" s="1148">
        <f>SUM('Aux.4.0.Leasing Inicial:Aux 4.5.Leasing 5'!P47)</f>
        <v>0</v>
      </c>
      <c r="F45" s="1149">
        <f>SUM('Aux.4.0.Leasing Inicial:Aux 4.5.Leasing 5'!Q47)</f>
        <v>0</v>
      </c>
      <c r="G45" s="590"/>
      <c r="H45" s="589"/>
      <c r="N45" s="581"/>
    </row>
    <row r="46" spans="2:14" ht="15.75" customHeight="1">
      <c r="B46" s="3730"/>
      <c r="C46" s="643" t="str">
        <f>C10</f>
        <v>Febrero</v>
      </c>
      <c r="D46" s="626">
        <f>SUM('Aux.4.0.Leasing Inicial:Aux 4.5.Leasing 5'!O48)</f>
        <v>0</v>
      </c>
      <c r="E46" s="1148">
        <f>SUM('Aux.4.0.Leasing Inicial:Aux 4.5.Leasing 5'!P48)</f>
        <v>0</v>
      </c>
      <c r="F46" s="1149">
        <f>SUM('Aux.4.0.Leasing Inicial:Aux 4.5.Leasing 5'!Q48)</f>
        <v>0</v>
      </c>
      <c r="G46" s="590"/>
      <c r="H46" s="589"/>
      <c r="N46" s="581"/>
    </row>
    <row r="47" spans="2:14" ht="15.75" customHeight="1">
      <c r="B47" s="3730"/>
      <c r="C47" s="643" t="str">
        <f t="shared" ref="C47:C56" si="2">C11</f>
        <v>Marzo</v>
      </c>
      <c r="D47" s="626">
        <f>SUM('Aux.4.0.Leasing Inicial:Aux 4.5.Leasing 5'!O49)</f>
        <v>0</v>
      </c>
      <c r="E47" s="1148">
        <f>SUM('Aux.4.0.Leasing Inicial:Aux 4.5.Leasing 5'!P49)</f>
        <v>0</v>
      </c>
      <c r="F47" s="1149">
        <f>SUM('Aux.4.0.Leasing Inicial:Aux 4.5.Leasing 5'!Q49)</f>
        <v>0</v>
      </c>
      <c r="G47" s="590"/>
      <c r="H47" s="589"/>
      <c r="N47" s="581"/>
    </row>
    <row r="48" spans="2:14" ht="15.75" customHeight="1">
      <c r="B48" s="3730"/>
      <c r="C48" s="643" t="str">
        <f t="shared" si="2"/>
        <v>Abril</v>
      </c>
      <c r="D48" s="626">
        <f>SUM('Aux.4.0.Leasing Inicial:Aux 4.5.Leasing 5'!O50)</f>
        <v>0</v>
      </c>
      <c r="E48" s="1148">
        <f>SUM('Aux.4.0.Leasing Inicial:Aux 4.5.Leasing 5'!P50)</f>
        <v>0</v>
      </c>
      <c r="F48" s="1149">
        <f>SUM('Aux.4.0.Leasing Inicial:Aux 4.5.Leasing 5'!Q50)</f>
        <v>0</v>
      </c>
      <c r="G48" s="590"/>
      <c r="H48" s="589"/>
      <c r="N48" s="581"/>
    </row>
    <row r="49" spans="2:14" ht="15.75" customHeight="1">
      <c r="B49" s="3730"/>
      <c r="C49" s="643" t="str">
        <f t="shared" si="2"/>
        <v>Mayo</v>
      </c>
      <c r="D49" s="626">
        <f>SUM('Aux.4.0.Leasing Inicial:Aux 4.5.Leasing 5'!O51)</f>
        <v>0</v>
      </c>
      <c r="E49" s="1148">
        <f>SUM('Aux.4.0.Leasing Inicial:Aux 4.5.Leasing 5'!P51)</f>
        <v>0</v>
      </c>
      <c r="F49" s="1149">
        <f>SUM('Aux.4.0.Leasing Inicial:Aux 4.5.Leasing 5'!Q51)</f>
        <v>0</v>
      </c>
      <c r="G49" s="590"/>
      <c r="H49" s="589"/>
      <c r="N49" s="581"/>
    </row>
    <row r="50" spans="2:14" ht="15.75" customHeight="1">
      <c r="B50" s="3730"/>
      <c r="C50" s="643" t="str">
        <f t="shared" si="2"/>
        <v>Junio</v>
      </c>
      <c r="D50" s="626">
        <f>SUM('Aux.4.0.Leasing Inicial:Aux 4.5.Leasing 5'!O52)</f>
        <v>0</v>
      </c>
      <c r="E50" s="1148">
        <f>SUM('Aux.4.0.Leasing Inicial:Aux 4.5.Leasing 5'!P52)</f>
        <v>0</v>
      </c>
      <c r="F50" s="1149">
        <f>SUM('Aux.4.0.Leasing Inicial:Aux 4.5.Leasing 5'!Q52)</f>
        <v>0</v>
      </c>
      <c r="G50" s="590"/>
      <c r="H50" s="589"/>
      <c r="N50" s="581"/>
    </row>
    <row r="51" spans="2:14" ht="15.75" customHeight="1">
      <c r="B51" s="3730"/>
      <c r="C51" s="643" t="str">
        <f t="shared" si="2"/>
        <v>Julio</v>
      </c>
      <c r="D51" s="626">
        <f>SUM('Aux.4.0.Leasing Inicial:Aux 4.5.Leasing 5'!O53)</f>
        <v>0</v>
      </c>
      <c r="E51" s="1148">
        <f>SUM('Aux.4.0.Leasing Inicial:Aux 4.5.Leasing 5'!P53)</f>
        <v>0</v>
      </c>
      <c r="F51" s="1149">
        <f>SUM('Aux.4.0.Leasing Inicial:Aux 4.5.Leasing 5'!Q53)</f>
        <v>0</v>
      </c>
      <c r="G51" s="590"/>
      <c r="H51" s="589"/>
      <c r="N51" s="581"/>
    </row>
    <row r="52" spans="2:14" ht="15.75" customHeight="1">
      <c r="B52" s="3730"/>
      <c r="C52" s="643" t="str">
        <f t="shared" si="2"/>
        <v>Agosto</v>
      </c>
      <c r="D52" s="626">
        <f>SUM('Aux.4.0.Leasing Inicial:Aux 4.5.Leasing 5'!O54)</f>
        <v>0</v>
      </c>
      <c r="E52" s="1148">
        <f>SUM('Aux.4.0.Leasing Inicial:Aux 4.5.Leasing 5'!P54)</f>
        <v>0</v>
      </c>
      <c r="F52" s="1149">
        <f>SUM('Aux.4.0.Leasing Inicial:Aux 4.5.Leasing 5'!Q54)</f>
        <v>0</v>
      </c>
      <c r="G52" s="590"/>
      <c r="H52" s="589"/>
      <c r="N52" s="581"/>
    </row>
    <row r="53" spans="2:14" ht="15.75" customHeight="1">
      <c r="B53" s="3730"/>
      <c r="C53" s="643" t="str">
        <f t="shared" si="2"/>
        <v>Septiembre</v>
      </c>
      <c r="D53" s="626">
        <f>SUM('Aux.4.0.Leasing Inicial:Aux 4.5.Leasing 5'!O55)</f>
        <v>0</v>
      </c>
      <c r="E53" s="1148">
        <f>SUM('Aux.4.0.Leasing Inicial:Aux 4.5.Leasing 5'!P55)</f>
        <v>0</v>
      </c>
      <c r="F53" s="1149">
        <f>SUM('Aux.4.0.Leasing Inicial:Aux 4.5.Leasing 5'!Q55)</f>
        <v>0</v>
      </c>
      <c r="G53" s="590"/>
      <c r="H53" s="589"/>
      <c r="N53" s="581"/>
    </row>
    <row r="54" spans="2:14" ht="15.75" customHeight="1">
      <c r="B54" s="3730"/>
      <c r="C54" s="643" t="str">
        <f t="shared" si="2"/>
        <v>Octubre</v>
      </c>
      <c r="D54" s="626">
        <f>SUM('Aux.4.0.Leasing Inicial:Aux 4.5.Leasing 5'!O56)</f>
        <v>0</v>
      </c>
      <c r="E54" s="1148">
        <f>SUM('Aux.4.0.Leasing Inicial:Aux 4.5.Leasing 5'!P56)</f>
        <v>0</v>
      </c>
      <c r="F54" s="1149">
        <f>SUM('Aux.4.0.Leasing Inicial:Aux 4.5.Leasing 5'!Q56)</f>
        <v>0</v>
      </c>
      <c r="G54" s="590"/>
      <c r="H54" s="589"/>
      <c r="N54" s="581"/>
    </row>
    <row r="55" spans="2:14" ht="15.75" customHeight="1">
      <c r="B55" s="3730"/>
      <c r="C55" s="643" t="str">
        <f t="shared" si="2"/>
        <v>Noviembre</v>
      </c>
      <c r="D55" s="626">
        <f>SUM('Aux.4.0.Leasing Inicial:Aux 4.5.Leasing 5'!O57)</f>
        <v>0</v>
      </c>
      <c r="E55" s="1148">
        <f>SUM('Aux.4.0.Leasing Inicial:Aux 4.5.Leasing 5'!P57)</f>
        <v>0</v>
      </c>
      <c r="F55" s="1149">
        <f>SUM('Aux.4.0.Leasing Inicial:Aux 4.5.Leasing 5'!Q57)</f>
        <v>0</v>
      </c>
      <c r="G55" s="590"/>
      <c r="H55" s="589"/>
      <c r="N55" s="581"/>
    </row>
    <row r="56" spans="2:14" ht="15.75" customHeight="1" thickBot="1">
      <c r="B56" s="3731"/>
      <c r="C56" s="643" t="str">
        <f t="shared" si="2"/>
        <v>Diciembre</v>
      </c>
      <c r="D56" s="645">
        <f>SUM('Aux.4.0.Leasing Inicial:Aux 4.5.Leasing 5'!O58)</f>
        <v>0</v>
      </c>
      <c r="E56" s="1150">
        <f>SUM('Aux.4.0.Leasing Inicial:Aux 4.5.Leasing 5'!P58)</f>
        <v>0</v>
      </c>
      <c r="F56" s="1151">
        <f>SUM('Aux.4.0.Leasing Inicial:Aux 4.5.Leasing 5'!Q58)</f>
        <v>0</v>
      </c>
      <c r="G56" s="632"/>
      <c r="H56" s="589"/>
      <c r="N56" s="581"/>
    </row>
    <row r="57" spans="2:14" ht="15.75" customHeight="1">
      <c r="B57" s="3729" t="str">
        <f>"5º ej."&amp;'1.Datos Básicos. Product-Serv'!H11</f>
        <v>5º ej.4</v>
      </c>
      <c r="C57" s="646" t="str">
        <f>C9</f>
        <v>Enero</v>
      </c>
      <c r="D57" s="626">
        <f>SUM('Aux.4.0.Leasing Inicial:Aux 4.5.Leasing 5'!O59)</f>
        <v>0</v>
      </c>
      <c r="E57" s="1148">
        <f>SUM('Aux.4.0.Leasing Inicial:Aux 4.5.Leasing 5'!P59)</f>
        <v>0</v>
      </c>
      <c r="F57" s="1149">
        <f>SUM('Aux.4.0.Leasing Inicial:Aux 4.5.Leasing 5'!Q59)</f>
        <v>0</v>
      </c>
      <c r="G57" s="590"/>
      <c r="H57" s="589"/>
      <c r="N57" s="581"/>
    </row>
    <row r="58" spans="2:14" ht="15.75" customHeight="1">
      <c r="B58" s="3730"/>
      <c r="C58" s="643" t="str">
        <f>C10</f>
        <v>Febrero</v>
      </c>
      <c r="D58" s="626">
        <f>SUM('Aux.4.0.Leasing Inicial:Aux 4.5.Leasing 5'!O60)</f>
        <v>0</v>
      </c>
      <c r="E58" s="1148">
        <f>SUM('Aux.4.0.Leasing Inicial:Aux 4.5.Leasing 5'!P60)</f>
        <v>0</v>
      </c>
      <c r="F58" s="1149">
        <f>SUM('Aux.4.0.Leasing Inicial:Aux 4.5.Leasing 5'!Q60)</f>
        <v>0</v>
      </c>
      <c r="G58" s="590"/>
      <c r="H58" s="589"/>
      <c r="N58" s="581"/>
    </row>
    <row r="59" spans="2:14" ht="15.75" customHeight="1">
      <c r="B59" s="3730"/>
      <c r="C59" s="643" t="str">
        <f t="shared" ref="C59:C80" si="3">C11</f>
        <v>Marzo</v>
      </c>
      <c r="D59" s="626">
        <f>SUM('Aux.4.0.Leasing Inicial:Aux 4.5.Leasing 5'!O61)</f>
        <v>0</v>
      </c>
      <c r="E59" s="1148">
        <f>SUM('Aux.4.0.Leasing Inicial:Aux 4.5.Leasing 5'!P61)</f>
        <v>0</v>
      </c>
      <c r="F59" s="1149">
        <f>SUM('Aux.4.0.Leasing Inicial:Aux 4.5.Leasing 5'!Q61)</f>
        <v>0</v>
      </c>
      <c r="G59" s="590"/>
      <c r="H59" s="589"/>
      <c r="N59" s="581"/>
    </row>
    <row r="60" spans="2:14" ht="15.75" customHeight="1">
      <c r="B60" s="3730"/>
      <c r="C60" s="643" t="str">
        <f t="shared" si="3"/>
        <v>Abril</v>
      </c>
      <c r="D60" s="626">
        <f>SUM('Aux.4.0.Leasing Inicial:Aux 4.5.Leasing 5'!O62)</f>
        <v>0</v>
      </c>
      <c r="E60" s="1148">
        <f>SUM('Aux.4.0.Leasing Inicial:Aux 4.5.Leasing 5'!P62)</f>
        <v>0</v>
      </c>
      <c r="F60" s="1149">
        <f>SUM('Aux.4.0.Leasing Inicial:Aux 4.5.Leasing 5'!Q62)</f>
        <v>0</v>
      </c>
      <c r="G60" s="590"/>
      <c r="H60" s="589"/>
      <c r="N60" s="581"/>
    </row>
    <row r="61" spans="2:14" ht="15.75" customHeight="1">
      <c r="B61" s="3730"/>
      <c r="C61" s="643" t="str">
        <f t="shared" si="3"/>
        <v>Mayo</v>
      </c>
      <c r="D61" s="626">
        <f>SUM('Aux.4.0.Leasing Inicial:Aux 4.5.Leasing 5'!O63)</f>
        <v>0</v>
      </c>
      <c r="E61" s="1148">
        <f>SUM('Aux.4.0.Leasing Inicial:Aux 4.5.Leasing 5'!P63)</f>
        <v>0</v>
      </c>
      <c r="F61" s="1149">
        <f>SUM('Aux.4.0.Leasing Inicial:Aux 4.5.Leasing 5'!Q63)</f>
        <v>0</v>
      </c>
      <c r="G61" s="590"/>
      <c r="H61" s="589"/>
      <c r="N61" s="581"/>
    </row>
    <row r="62" spans="2:14" ht="15.75" customHeight="1">
      <c r="B62" s="3730"/>
      <c r="C62" s="643" t="str">
        <f t="shared" si="3"/>
        <v>Junio</v>
      </c>
      <c r="D62" s="626">
        <f>SUM('Aux.4.0.Leasing Inicial:Aux 4.5.Leasing 5'!O64)</f>
        <v>0</v>
      </c>
      <c r="E62" s="1148">
        <f>SUM('Aux.4.0.Leasing Inicial:Aux 4.5.Leasing 5'!P64)</f>
        <v>0</v>
      </c>
      <c r="F62" s="1149">
        <f>SUM('Aux.4.0.Leasing Inicial:Aux 4.5.Leasing 5'!Q64)</f>
        <v>0</v>
      </c>
      <c r="G62" s="590"/>
      <c r="H62" s="589"/>
      <c r="N62" s="581"/>
    </row>
    <row r="63" spans="2:14" ht="15.75" customHeight="1">
      <c r="B63" s="3730"/>
      <c r="C63" s="643" t="str">
        <f t="shared" si="3"/>
        <v>Julio</v>
      </c>
      <c r="D63" s="626">
        <f>SUM('Aux.4.0.Leasing Inicial:Aux 4.5.Leasing 5'!O65)</f>
        <v>0</v>
      </c>
      <c r="E63" s="1148">
        <f>SUM('Aux.4.0.Leasing Inicial:Aux 4.5.Leasing 5'!P65)</f>
        <v>0</v>
      </c>
      <c r="F63" s="1149">
        <f>SUM('Aux.4.0.Leasing Inicial:Aux 4.5.Leasing 5'!Q65)</f>
        <v>0</v>
      </c>
      <c r="G63" s="590"/>
      <c r="H63" s="589"/>
      <c r="N63" s="581"/>
    </row>
    <row r="64" spans="2:14" ht="15.75" customHeight="1">
      <c r="B64" s="3730"/>
      <c r="C64" s="643" t="str">
        <f t="shared" si="3"/>
        <v>Agosto</v>
      </c>
      <c r="D64" s="626">
        <f>SUM('Aux.4.0.Leasing Inicial:Aux 4.5.Leasing 5'!O66)</f>
        <v>0</v>
      </c>
      <c r="E64" s="1148">
        <f>SUM('Aux.4.0.Leasing Inicial:Aux 4.5.Leasing 5'!P66)</f>
        <v>0</v>
      </c>
      <c r="F64" s="1149">
        <f>SUM('Aux.4.0.Leasing Inicial:Aux 4.5.Leasing 5'!Q66)</f>
        <v>0</v>
      </c>
      <c r="G64" s="590"/>
      <c r="H64" s="589"/>
      <c r="N64" s="581"/>
    </row>
    <row r="65" spans="2:14" ht="15.75" customHeight="1">
      <c r="B65" s="3730"/>
      <c r="C65" s="643" t="str">
        <f t="shared" si="3"/>
        <v>Septiembre</v>
      </c>
      <c r="D65" s="626">
        <f>SUM('Aux.4.0.Leasing Inicial:Aux 4.5.Leasing 5'!O67)</f>
        <v>0</v>
      </c>
      <c r="E65" s="1148">
        <f>SUM('Aux.4.0.Leasing Inicial:Aux 4.5.Leasing 5'!P67)</f>
        <v>0</v>
      </c>
      <c r="F65" s="1149">
        <f>SUM('Aux.4.0.Leasing Inicial:Aux 4.5.Leasing 5'!Q67)</f>
        <v>0</v>
      </c>
      <c r="G65" s="590"/>
      <c r="H65" s="589"/>
      <c r="N65" s="581"/>
    </row>
    <row r="66" spans="2:14" ht="15.75" customHeight="1">
      <c r="B66" s="3730"/>
      <c r="C66" s="643" t="str">
        <f t="shared" si="3"/>
        <v>Octubre</v>
      </c>
      <c r="D66" s="626">
        <f>SUM('Aux.4.0.Leasing Inicial:Aux 4.5.Leasing 5'!O68)</f>
        <v>0</v>
      </c>
      <c r="E66" s="1148">
        <f>SUM('Aux.4.0.Leasing Inicial:Aux 4.5.Leasing 5'!P68)</f>
        <v>0</v>
      </c>
      <c r="F66" s="1149">
        <f>SUM('Aux.4.0.Leasing Inicial:Aux 4.5.Leasing 5'!Q68)</f>
        <v>0</v>
      </c>
      <c r="G66" s="590"/>
      <c r="H66" s="589"/>
      <c r="N66" s="581"/>
    </row>
    <row r="67" spans="2:14" ht="15.75" customHeight="1">
      <c r="B67" s="3730"/>
      <c r="C67" s="643" t="str">
        <f t="shared" si="3"/>
        <v>Noviembre</v>
      </c>
      <c r="D67" s="626">
        <f>SUM('Aux.4.0.Leasing Inicial:Aux 4.5.Leasing 5'!O69)</f>
        <v>0</v>
      </c>
      <c r="E67" s="1148">
        <f>SUM('Aux.4.0.Leasing Inicial:Aux 4.5.Leasing 5'!P69)</f>
        <v>0</v>
      </c>
      <c r="F67" s="1149">
        <f>SUM('Aux.4.0.Leasing Inicial:Aux 4.5.Leasing 5'!Q69)</f>
        <v>0</v>
      </c>
      <c r="G67" s="590"/>
      <c r="H67" s="589"/>
      <c r="N67" s="581"/>
    </row>
    <row r="68" spans="2:14" ht="17.25" thickBot="1">
      <c r="B68" s="3731"/>
      <c r="C68" s="647" t="str">
        <f t="shared" si="3"/>
        <v>Diciembre</v>
      </c>
      <c r="D68" s="628">
        <f>SUM('Aux.4.0.Leasing Inicial:Aux 4.5.Leasing 5'!O70)</f>
        <v>0</v>
      </c>
      <c r="E68" s="1152">
        <f>SUM('Aux.4.0.Leasing Inicial:Aux 4.5.Leasing 5'!P70)</f>
        <v>0</v>
      </c>
      <c r="F68" s="1153">
        <f>SUM('Aux.4.0.Leasing Inicial:Aux 4.5.Leasing 5'!Q70)</f>
        <v>0</v>
      </c>
      <c r="G68" s="632"/>
      <c r="H68" s="589"/>
      <c r="N68" s="581"/>
    </row>
    <row r="69" spans="2:14" hidden="1">
      <c r="B69" s="3729" t="str">
        <f>"6º ej."&amp;'1.Datos Básicos. Product-Serv'!I11</f>
        <v>6º ej.0</v>
      </c>
      <c r="C69" s="648" t="str">
        <f t="shared" si="3"/>
        <v>Enero</v>
      </c>
      <c r="D69" s="626">
        <f>SUM('Aux.4.0.Leasing Inicial:Aux 4.5.Leasing 5'!O71)</f>
        <v>0</v>
      </c>
      <c r="E69" s="1148">
        <f>SUM('Aux.4.0.Leasing Inicial:Aux 4.5.Leasing 5'!P71)</f>
        <v>0</v>
      </c>
      <c r="F69" s="1149">
        <f>SUM('Aux.4.0.Leasing Inicial:Aux 4.5.Leasing 5'!Q71)</f>
        <v>0</v>
      </c>
      <c r="G69" s="1143"/>
      <c r="H69" s="589"/>
      <c r="N69" s="581"/>
    </row>
    <row r="70" spans="2:14" hidden="1">
      <c r="B70" s="3730"/>
      <c r="C70" s="648" t="str">
        <f t="shared" si="3"/>
        <v>Febrero</v>
      </c>
      <c r="D70" s="626">
        <f>SUM('Aux.4.0.Leasing Inicial:Aux 4.5.Leasing 5'!O72)</f>
        <v>0</v>
      </c>
      <c r="E70" s="1148">
        <f>SUM('Aux.4.0.Leasing Inicial:Aux 4.5.Leasing 5'!P72)</f>
        <v>0</v>
      </c>
      <c r="F70" s="1149">
        <f>SUM('Aux.4.0.Leasing Inicial:Aux 4.5.Leasing 5'!Q72)</f>
        <v>0</v>
      </c>
      <c r="G70" s="1143"/>
    </row>
    <row r="71" spans="2:14" hidden="1">
      <c r="B71" s="3730"/>
      <c r="C71" s="648" t="str">
        <f t="shared" si="3"/>
        <v>Marzo</v>
      </c>
      <c r="D71" s="626">
        <f>SUM('Aux.4.0.Leasing Inicial:Aux 4.5.Leasing 5'!O73)</f>
        <v>0</v>
      </c>
      <c r="E71" s="1148">
        <f>SUM('Aux.4.0.Leasing Inicial:Aux 4.5.Leasing 5'!P73)</f>
        <v>0</v>
      </c>
      <c r="F71" s="1149">
        <f>SUM('Aux.4.0.Leasing Inicial:Aux 4.5.Leasing 5'!Q73)</f>
        <v>0</v>
      </c>
      <c r="G71" s="1143"/>
    </row>
    <row r="72" spans="2:14" hidden="1">
      <c r="B72" s="3730"/>
      <c r="C72" s="648" t="str">
        <f t="shared" si="3"/>
        <v>Abril</v>
      </c>
      <c r="D72" s="626">
        <f>SUM('Aux.4.0.Leasing Inicial:Aux 4.5.Leasing 5'!O74)</f>
        <v>0</v>
      </c>
      <c r="E72" s="1148">
        <f>SUM('Aux.4.0.Leasing Inicial:Aux 4.5.Leasing 5'!P74)</f>
        <v>0</v>
      </c>
      <c r="F72" s="1149">
        <f>SUM('Aux.4.0.Leasing Inicial:Aux 4.5.Leasing 5'!Q74)</f>
        <v>0</v>
      </c>
      <c r="G72" s="1144"/>
    </row>
    <row r="73" spans="2:14" hidden="1">
      <c r="B73" s="3730"/>
      <c r="C73" s="648" t="str">
        <f t="shared" si="3"/>
        <v>Mayo</v>
      </c>
      <c r="D73" s="626">
        <f>SUM('Aux.4.0.Leasing Inicial:Aux 4.5.Leasing 5'!O75)</f>
        <v>0</v>
      </c>
      <c r="E73" s="1148">
        <f>SUM('Aux.4.0.Leasing Inicial:Aux 4.5.Leasing 5'!P75)</f>
        <v>0</v>
      </c>
      <c r="F73" s="1149">
        <f>SUM('Aux.4.0.Leasing Inicial:Aux 4.5.Leasing 5'!Q75)</f>
        <v>0</v>
      </c>
      <c r="G73" s="1144"/>
    </row>
    <row r="74" spans="2:14" hidden="1">
      <c r="B74" s="3730"/>
      <c r="C74" s="648" t="str">
        <f t="shared" si="3"/>
        <v>Junio</v>
      </c>
      <c r="D74" s="626">
        <f>SUM('Aux.4.0.Leasing Inicial:Aux 4.5.Leasing 5'!O76)</f>
        <v>0</v>
      </c>
      <c r="E74" s="1148">
        <f>SUM('Aux.4.0.Leasing Inicial:Aux 4.5.Leasing 5'!P76)</f>
        <v>0</v>
      </c>
      <c r="F74" s="1149">
        <f>SUM('Aux.4.0.Leasing Inicial:Aux 4.5.Leasing 5'!Q76)</f>
        <v>0</v>
      </c>
      <c r="G74" s="1154" t="s">
        <v>453</v>
      </c>
    </row>
    <row r="75" spans="2:14" hidden="1">
      <c r="B75" s="3730"/>
      <c r="C75" s="648" t="str">
        <f t="shared" si="3"/>
        <v>Julio</v>
      </c>
      <c r="D75" s="626">
        <f>SUM('Aux.4.0.Leasing Inicial:Aux 4.5.Leasing 5'!O77)</f>
        <v>0</v>
      </c>
      <c r="E75" s="1148">
        <f>SUM('Aux.4.0.Leasing Inicial:Aux 4.5.Leasing 5'!P77)</f>
        <v>0</v>
      </c>
      <c r="F75" s="1149">
        <f>SUM('Aux.4.0.Leasing Inicial:Aux 4.5.Leasing 5'!Q77)</f>
        <v>0</v>
      </c>
      <c r="G75" s="1144"/>
    </row>
    <row r="76" spans="2:14" hidden="1">
      <c r="B76" s="3730"/>
      <c r="C76" s="648" t="str">
        <f t="shared" si="3"/>
        <v>Agosto</v>
      </c>
      <c r="D76" s="626">
        <f>SUM('Aux.4.0.Leasing Inicial:Aux 4.5.Leasing 5'!O78)</f>
        <v>0</v>
      </c>
      <c r="E76" s="1148">
        <f>SUM('Aux.4.0.Leasing Inicial:Aux 4.5.Leasing 5'!P78)</f>
        <v>0</v>
      </c>
      <c r="F76" s="1149">
        <f>SUM('Aux.4.0.Leasing Inicial:Aux 4.5.Leasing 5'!Q78)</f>
        <v>0</v>
      </c>
      <c r="G76" s="1144"/>
    </row>
    <row r="77" spans="2:14" hidden="1">
      <c r="B77" s="3730"/>
      <c r="C77" s="648" t="str">
        <f t="shared" si="3"/>
        <v>Septiembre</v>
      </c>
      <c r="D77" s="626">
        <f>SUM('Aux.4.0.Leasing Inicial:Aux 4.5.Leasing 5'!O79)</f>
        <v>0</v>
      </c>
      <c r="E77" s="1148">
        <f>SUM('Aux.4.0.Leasing Inicial:Aux 4.5.Leasing 5'!P79)</f>
        <v>0</v>
      </c>
      <c r="F77" s="1149">
        <f>SUM('Aux.4.0.Leasing Inicial:Aux 4.5.Leasing 5'!Q79)</f>
        <v>0</v>
      </c>
      <c r="G77" s="1144"/>
    </row>
    <row r="78" spans="2:14" hidden="1">
      <c r="B78" s="3730"/>
      <c r="C78" s="648" t="str">
        <f t="shared" si="3"/>
        <v>Octubre</v>
      </c>
      <c r="D78" s="626">
        <f>SUM('Aux.4.0.Leasing Inicial:Aux 4.5.Leasing 5'!O80)</f>
        <v>0</v>
      </c>
      <c r="E78" s="1148">
        <f>SUM('Aux.4.0.Leasing Inicial:Aux 4.5.Leasing 5'!P80)</f>
        <v>0</v>
      </c>
      <c r="F78" s="1149">
        <f>SUM('Aux.4.0.Leasing Inicial:Aux 4.5.Leasing 5'!Q80)</f>
        <v>0</v>
      </c>
      <c r="G78" s="1144"/>
    </row>
    <row r="79" spans="2:14" hidden="1">
      <c r="B79" s="3730"/>
      <c r="C79" s="648" t="str">
        <f t="shared" si="3"/>
        <v>Noviembre</v>
      </c>
      <c r="D79" s="626">
        <f>SUM('Aux.4.0.Leasing Inicial:Aux 4.5.Leasing 5'!O81)</f>
        <v>0</v>
      </c>
      <c r="E79" s="1148">
        <f>SUM('Aux.4.0.Leasing Inicial:Aux 4.5.Leasing 5'!P81)</f>
        <v>0</v>
      </c>
      <c r="F79" s="1149">
        <f>SUM('Aux.4.0.Leasing Inicial:Aux 4.5.Leasing 5'!Q81)</f>
        <v>0</v>
      </c>
      <c r="G79" s="1144"/>
    </row>
    <row r="80" spans="2:14" ht="17.25" hidden="1" thickBot="1">
      <c r="B80" s="3731"/>
      <c r="C80" s="647" t="str">
        <f t="shared" si="3"/>
        <v>Diciembre</v>
      </c>
      <c r="D80" s="628">
        <f>SUM('Aux.4.0.Leasing Inicial:Aux 4.5.Leasing 5'!O82)</f>
        <v>0</v>
      </c>
      <c r="E80" s="1152">
        <f>SUM('Aux.4.0.Leasing Inicial:Aux 4.5.Leasing 5'!P82)</f>
        <v>0</v>
      </c>
      <c r="F80" s="1153">
        <f>SUM('Aux.4.0.Leasing Inicial:Aux 4.5.Leasing 5'!Q82)</f>
        <v>0</v>
      </c>
      <c r="G80" s="1145"/>
    </row>
  </sheetData>
  <sheetProtection sheet="1" formatColumns="0" formatRows="0"/>
  <mergeCells count="15">
    <mergeCell ref="N15:N16"/>
    <mergeCell ref="R15:R16"/>
    <mergeCell ref="J15:J16"/>
    <mergeCell ref="H15:H16"/>
    <mergeCell ref="B57:B68"/>
    <mergeCell ref="B9:B20"/>
    <mergeCell ref="B21:B32"/>
    <mergeCell ref="B33:B44"/>
    <mergeCell ref="B45:B56"/>
    <mergeCell ref="Q15:Q16"/>
    <mergeCell ref="B69:B80"/>
    <mergeCell ref="K15:K16"/>
    <mergeCell ref="L15:L16"/>
    <mergeCell ref="I15:I16"/>
    <mergeCell ref="M15:M16"/>
  </mergeCells>
  <phoneticPr fontId="9" type="noConversion"/>
  <dataValidations xWindow="369" yWindow="213" count="2">
    <dataValidation type="whole" allowBlank="1" showInputMessage="1" showErrorMessage="1" error="Solo valores enteros comprendidos entre 1 y 5" sqref="F6">
      <formula1>1</formula1>
      <formula2>5</formula2>
    </dataValidation>
    <dataValidation allowBlank="1" showInputMessage="1" sqref="J18:N21 R18:R21"/>
  </dataValidations>
  <printOptions horizontalCentered="1" verticalCentered="1"/>
  <pageMargins left="0.6692913385826772" right="0.78740157480314965" top="0.35433070866141736" bottom="0.47244094488188981" header="0.27559055118110237" footer="0.27559055118110237"/>
  <pageSetup paperSize="9" scale="58" fitToHeight="2" orientation="portrait" horizontalDpi="4294967292" verticalDpi="300" r:id="rId1"/>
  <headerFooter alignWithMargins="0">
    <oddFooter>&amp;A</oddFooter>
  </headerFooter>
  <colBreaks count="1" manualBreakCount="1">
    <brk id="7" max="67"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dimension ref="A3:AJ84"/>
  <sheetViews>
    <sheetView showGridLines="0" zoomScale="60" zoomScaleNormal="60" zoomScaleSheetLayoutView="50" workbookViewId="0">
      <pane xSplit="1" ySplit="11" topLeftCell="B12" activePane="bottomRight" state="frozen"/>
      <selection activeCell="D8" sqref="D8"/>
      <selection pane="topRight" activeCell="D8" sqref="D8"/>
      <selection pane="bottomLeft" activeCell="D8" sqref="D8"/>
      <selection pane="bottomRight" activeCell="A54" sqref="A54"/>
    </sheetView>
  </sheetViews>
  <sheetFormatPr baseColWidth="10" defaultColWidth="11.1640625" defaultRowHeight="16.5"/>
  <cols>
    <col min="1" max="1" width="70.5" style="394" customWidth="1"/>
    <col min="2" max="2" width="1.33203125" style="394" customWidth="1"/>
    <col min="3" max="14" width="19.5" style="394" customWidth="1"/>
    <col min="15" max="15" width="19.5" style="791" customWidth="1"/>
    <col min="16" max="16" width="27.5" style="394" customWidth="1"/>
    <col min="17" max="17" width="7.6640625" style="394" customWidth="1"/>
    <col min="18" max="18" width="1.1640625" style="2326" customWidth="1"/>
    <col min="19" max="19" width="7.83203125" style="394" customWidth="1"/>
    <col min="20" max="32" width="21" style="394" customWidth="1"/>
    <col min="33" max="33" width="28.33203125" style="394" customWidth="1"/>
    <col min="34" max="34" width="11.1640625" style="394" customWidth="1"/>
    <col min="35" max="36" width="11.1640625" style="394" hidden="1" customWidth="1"/>
    <col min="37" max="16384" width="11.1640625" style="394"/>
  </cols>
  <sheetData>
    <row r="3" spans="1:33" ht="29.25" customHeight="1">
      <c r="B3" s="3603" t="s">
        <v>677</v>
      </c>
      <c r="C3" s="3347"/>
      <c r="D3" s="3347"/>
      <c r="E3" s="3347"/>
      <c r="F3" s="3347"/>
      <c r="G3" s="3347"/>
      <c r="H3" s="3347"/>
      <c r="I3" s="3347"/>
      <c r="J3" s="3347"/>
      <c r="K3" s="3347"/>
      <c r="L3" s="3347"/>
      <c r="M3" s="3347"/>
      <c r="N3" s="3347"/>
      <c r="T3" s="3603" t="s">
        <v>677</v>
      </c>
      <c r="U3" s="3351"/>
      <c r="V3" s="3351"/>
      <c r="W3" s="3351"/>
      <c r="X3" s="3351"/>
      <c r="Y3" s="3352"/>
      <c r="Z3" s="3352"/>
      <c r="AA3" s="3352"/>
      <c r="AB3" s="3352"/>
      <c r="AC3" s="3352"/>
      <c r="AD3" s="3352"/>
      <c r="AE3" s="3352"/>
    </row>
    <row r="4" spans="1:33" ht="29.25" customHeight="1">
      <c r="B4" s="3346" t="s">
        <v>678</v>
      </c>
      <c r="C4" s="3347"/>
      <c r="D4" s="3347"/>
      <c r="E4" s="3347"/>
      <c r="F4" s="3347"/>
      <c r="G4" s="3347"/>
      <c r="H4" s="3347"/>
      <c r="I4" s="3347"/>
      <c r="J4" s="3347"/>
      <c r="K4" s="3347"/>
      <c r="L4" s="3347"/>
      <c r="M4" s="3347"/>
      <c r="N4" s="3347"/>
      <c r="T4" s="3346" t="s">
        <v>678</v>
      </c>
      <c r="U4" s="3351"/>
      <c r="V4" s="3351"/>
      <c r="W4" s="3351"/>
      <c r="X4" s="3351"/>
      <c r="Y4" s="3352"/>
      <c r="Z4" s="3352"/>
      <c r="AA4" s="3352"/>
      <c r="AB4" s="3352"/>
      <c r="AC4" s="3352"/>
      <c r="AD4" s="3352"/>
      <c r="AE4" s="3352"/>
    </row>
    <row r="5" spans="1:33" ht="29.25" customHeight="1">
      <c r="C5" s="2252"/>
      <c r="D5" s="2090"/>
      <c r="E5" s="2090"/>
      <c r="F5" s="2090"/>
      <c r="G5" s="2090"/>
      <c r="H5" s="2292" t="str">
        <f>"1º Ejerc. "&amp;'1.Datos Básicos. Product-Serv'!B11</f>
        <v>1º Ejerc. 0</v>
      </c>
      <c r="I5" s="2091"/>
      <c r="J5" s="2091"/>
      <c r="K5" s="2091"/>
      <c r="L5" s="2091"/>
      <c r="M5" s="2091"/>
      <c r="N5" s="2091"/>
      <c r="Y5" s="2292" t="str">
        <f>"2º Ejerc. "&amp;'1.Datos Básicos. Product-Serv'!E11</f>
        <v>2º Ejerc. 1</v>
      </c>
    </row>
    <row r="6" spans="1:33" ht="15" customHeight="1" thickBot="1">
      <c r="A6" s="841" t="str">
        <f>IF('1.Datos Básicos. Product-Serv'!B5=0,"",'1.Datos Básicos. Product-Serv'!B5)</f>
        <v/>
      </c>
      <c r="B6" s="841"/>
      <c r="N6" s="791"/>
      <c r="O6" s="394"/>
    </row>
    <row r="7" spans="1:33" ht="27" customHeight="1" thickTop="1" thickBot="1">
      <c r="A7" s="2254" t="s">
        <v>35</v>
      </c>
      <c r="B7" s="2863"/>
      <c r="N7" s="791"/>
      <c r="O7" s="394"/>
      <c r="X7" s="592"/>
      <c r="AA7" s="592"/>
    </row>
    <row r="8" spans="1:33" ht="12" customHeight="1" thickTop="1" thickBot="1">
      <c r="A8" s="842"/>
      <c r="B8" s="842"/>
      <c r="F8" s="592"/>
      <c r="G8" s="1656"/>
      <c r="H8" s="2253"/>
      <c r="J8" s="592"/>
      <c r="K8" s="1656"/>
      <c r="L8" s="2253"/>
      <c r="N8" s="791"/>
      <c r="O8" s="394"/>
      <c r="X8" s="592"/>
      <c r="Y8" s="2253"/>
      <c r="AA8" s="592"/>
      <c r="AB8" s="2253"/>
    </row>
    <row r="9" spans="1:33" ht="24" customHeight="1" thickTop="1" thickBot="1">
      <c r="A9" s="2289" t="s">
        <v>679</v>
      </c>
      <c r="B9" s="2870"/>
      <c r="C9" s="2290"/>
      <c r="D9" s="3774" t="s">
        <v>680</v>
      </c>
      <c r="E9" s="3773"/>
      <c r="F9" s="3773"/>
      <c r="G9" s="3773"/>
      <c r="H9" s="2293">
        <f>'7. Plan Invers-Financ (1º,2º)'!AA60-O45</f>
        <v>0</v>
      </c>
      <c r="I9" s="2291"/>
      <c r="J9" s="3774" t="s">
        <v>736</v>
      </c>
      <c r="K9" s="3773"/>
      <c r="L9" s="3773"/>
      <c r="M9" s="3775"/>
      <c r="N9" s="2293">
        <f>'7. Plan Invers-Financ (1º,2º)'!AA40+'7. Plan Invers-Financ (1º,2º)'!AA41+'7. Plan Invers-Financ (1º,2º)'!AA50+('7. Plan Invers-Financ (1º,2º)'!AA43+'7. Plan Invers-Financ (1º,2º)'!AA44)+'7. Plan Invers-Financ (1º,2º)'!AA65*0-O16</f>
        <v>0</v>
      </c>
      <c r="U9" s="3772" t="s">
        <v>680</v>
      </c>
      <c r="V9" s="3773"/>
      <c r="W9" s="3773"/>
      <c r="X9" s="3773"/>
      <c r="Y9" s="2325">
        <f>'7. Plan Invers-Financ (1º,2º)'!AL60-AF45</f>
        <v>0</v>
      </c>
      <c r="AA9" s="3774" t="s">
        <v>736</v>
      </c>
      <c r="AB9" s="3773"/>
      <c r="AC9" s="3773"/>
      <c r="AD9" s="3775"/>
      <c r="AE9" s="2325">
        <f>('7. Plan Invers-Financ (1º,2º)'!AL40+'7. Plan Invers-Financ (1º,2º)'!AL43+'7. Plan Invers-Financ (1º,2º)'!AL41+'7. Plan Invers-Financ (1º,2º)'!AL44+'7. Plan Invers-Financ (1º,2º)'!AL50)-AF16</f>
        <v>0</v>
      </c>
    </row>
    <row r="10" spans="1:33" ht="18" customHeight="1" thickTop="1" thickBot="1">
      <c r="D10" s="843"/>
      <c r="F10" s="791"/>
    </row>
    <row r="11" spans="1:33" s="844" customFormat="1" ht="24.75" customHeight="1" thickTop="1" thickBot="1">
      <c r="A11" s="2871" t="s">
        <v>0</v>
      </c>
      <c r="B11" s="587"/>
      <c r="C11" s="2884" t="str">
        <f>'6. P y G (Ej 1º,2º)'!$C$9</f>
        <v>Enero</v>
      </c>
      <c r="D11" s="2714" t="str">
        <f>'6. P y G (Ej 1º,2º)'!$D$9</f>
        <v>Febrero</v>
      </c>
      <c r="E11" s="2714" t="str">
        <f>'6. P y G (Ej 1º,2º)'!$E$9</f>
        <v>Marzo</v>
      </c>
      <c r="F11" s="2714" t="str">
        <f>'6. P y G (Ej 1º,2º)'!$F$9</f>
        <v>Abril</v>
      </c>
      <c r="G11" s="2714" t="str">
        <f>'6. P y G (Ej 1º,2º)'!$G$9</f>
        <v>Mayo</v>
      </c>
      <c r="H11" s="2714" t="str">
        <f>'6. P y G (Ej 1º,2º)'!$H$9</f>
        <v>Junio</v>
      </c>
      <c r="I11" s="2714" t="str">
        <f>'6. P y G (Ej 1º,2º)'!$I$9</f>
        <v>Julio</v>
      </c>
      <c r="J11" s="2714" t="str">
        <f>'6. P y G (Ej 1º,2º)'!$J$9</f>
        <v>Agosto</v>
      </c>
      <c r="K11" s="2714" t="str">
        <f>'6. P y G (Ej 1º,2º)'!$K$9</f>
        <v>Septiembre</v>
      </c>
      <c r="L11" s="2714" t="str">
        <f>'6. P y G (Ej 1º,2º)'!$L$9</f>
        <v>Octubre</v>
      </c>
      <c r="M11" s="2714" t="str">
        <f>'6. P y G (Ej 1º,2º)'!$M$9</f>
        <v>Noviembre</v>
      </c>
      <c r="N11" s="2299" t="str">
        <f>'6. P y G (Ej 1º,2º)'!$N$9</f>
        <v>Diciembre</v>
      </c>
      <c r="O11" s="2309" t="s">
        <v>7</v>
      </c>
      <c r="P11" s="587"/>
      <c r="R11" s="2327"/>
      <c r="T11" s="2831" t="str">
        <f>'6. P y G (Ej 1º,2º)'!T9</f>
        <v>Enero</v>
      </c>
      <c r="U11" s="2714" t="str">
        <f>'6. P y G (Ej 1º,2º)'!U9</f>
        <v>Febrero</v>
      </c>
      <c r="V11" s="2714" t="str">
        <f>'6. P y G (Ej 1º,2º)'!V9</f>
        <v>Marzo</v>
      </c>
      <c r="W11" s="2714" t="str">
        <f>'6. P y G (Ej 1º,2º)'!W9</f>
        <v>Abril</v>
      </c>
      <c r="X11" s="2714" t="str">
        <f>'6. P y G (Ej 1º,2º)'!X9</f>
        <v>Mayo</v>
      </c>
      <c r="Y11" s="2714" t="str">
        <f>'6. P y G (Ej 1º,2º)'!Y9</f>
        <v>Junio</v>
      </c>
      <c r="Z11" s="2714" t="str">
        <f>'6. P y G (Ej 1º,2º)'!Z9</f>
        <v>Julio</v>
      </c>
      <c r="AA11" s="2714" t="str">
        <f>'6. P y G (Ej 1º,2º)'!AA9</f>
        <v>Agosto</v>
      </c>
      <c r="AB11" s="2714" t="str">
        <f>'6. P y G (Ej 1º,2º)'!AB9</f>
        <v>Septiembre</v>
      </c>
      <c r="AC11" s="2714" t="str">
        <f>'6. P y G (Ej 1º,2º)'!AC9</f>
        <v>Octubre</v>
      </c>
      <c r="AD11" s="2714" t="str">
        <f>'6. P y G (Ej 1º,2º)'!AD9</f>
        <v>Noviembre</v>
      </c>
      <c r="AE11" s="2818" t="str">
        <f>'6. P y G (Ej 1º,2º)'!AE9</f>
        <v>Diciembre</v>
      </c>
      <c r="AF11" s="2309" t="s">
        <v>7</v>
      </c>
      <c r="AG11" s="587"/>
    </row>
    <row r="12" spans="1:33" s="791" customFormat="1" ht="24.75" customHeight="1">
      <c r="A12" s="2872" t="s">
        <v>144</v>
      </c>
      <c r="B12" s="748"/>
      <c r="C12" s="2885">
        <f>'(0) 1a. Activos de Partida'!B42+'7. Plan Invers-Financ (1º,2º)'!AA46+'7. Plan Invers-Financ (1º,2º)'!AA49</f>
        <v>0</v>
      </c>
      <c r="D12" s="2819">
        <f>C52</f>
        <v>0</v>
      </c>
      <c r="E12" s="2819">
        <f t="shared" ref="E12:N12" si="0">D52</f>
        <v>0</v>
      </c>
      <c r="F12" s="2819">
        <f t="shared" si="0"/>
        <v>0</v>
      </c>
      <c r="G12" s="2819">
        <f t="shared" si="0"/>
        <v>0</v>
      </c>
      <c r="H12" s="2819">
        <f t="shared" si="0"/>
        <v>0</v>
      </c>
      <c r="I12" s="2819">
        <f t="shared" si="0"/>
        <v>0</v>
      </c>
      <c r="J12" s="2819">
        <f t="shared" si="0"/>
        <v>0</v>
      </c>
      <c r="K12" s="2819">
        <f t="shared" si="0"/>
        <v>0</v>
      </c>
      <c r="L12" s="2819">
        <f t="shared" si="0"/>
        <v>0</v>
      </c>
      <c r="M12" s="2819">
        <f t="shared" si="0"/>
        <v>0</v>
      </c>
      <c r="N12" s="2300">
        <f t="shared" si="0"/>
        <v>0</v>
      </c>
      <c r="O12" s="2310"/>
      <c r="P12" s="748"/>
      <c r="R12" s="2328"/>
      <c r="T12" s="2832">
        <f>N52+'7. Plan Invers-Financ (1º,2º)'!AL49+'7. Plan Invers-Financ (1º,2º)'!AL46</f>
        <v>0</v>
      </c>
      <c r="U12" s="2819">
        <f t="shared" ref="U12:AE12" si="1">T52</f>
        <v>0</v>
      </c>
      <c r="V12" s="2819">
        <f t="shared" si="1"/>
        <v>0</v>
      </c>
      <c r="W12" s="2819">
        <f t="shared" si="1"/>
        <v>0</v>
      </c>
      <c r="X12" s="2819">
        <f t="shared" si="1"/>
        <v>0</v>
      </c>
      <c r="Y12" s="2819">
        <f t="shared" si="1"/>
        <v>0</v>
      </c>
      <c r="Z12" s="2819">
        <f t="shared" si="1"/>
        <v>0</v>
      </c>
      <c r="AA12" s="2819">
        <f t="shared" si="1"/>
        <v>0</v>
      </c>
      <c r="AB12" s="2819">
        <f t="shared" si="1"/>
        <v>0</v>
      </c>
      <c r="AC12" s="2819">
        <f t="shared" si="1"/>
        <v>0</v>
      </c>
      <c r="AD12" s="2819">
        <f t="shared" si="1"/>
        <v>0</v>
      </c>
      <c r="AE12" s="2300">
        <f t="shared" si="1"/>
        <v>0</v>
      </c>
      <c r="AF12" s="2310"/>
      <c r="AG12" s="748"/>
    </row>
    <row r="13" spans="1:33" ht="24.75" customHeight="1">
      <c r="A13" s="2873" t="s">
        <v>136</v>
      </c>
      <c r="B13" s="845"/>
      <c r="C13" s="2886">
        <f>'2.Ventas y Cobros (Ej 1º,2º)'!D65</f>
        <v>0</v>
      </c>
      <c r="D13" s="2820">
        <f>'2.Ventas y Cobros (Ej 1º,2º)'!E65</f>
        <v>0</v>
      </c>
      <c r="E13" s="2820">
        <f>'2.Ventas y Cobros (Ej 1º,2º)'!F65</f>
        <v>0</v>
      </c>
      <c r="F13" s="2820">
        <f>'2.Ventas y Cobros (Ej 1º,2º)'!G65</f>
        <v>0</v>
      </c>
      <c r="G13" s="2820">
        <f>'2.Ventas y Cobros (Ej 1º,2º)'!H65</f>
        <v>0</v>
      </c>
      <c r="H13" s="2820">
        <f>'2.Ventas y Cobros (Ej 1º,2º)'!I65</f>
        <v>0</v>
      </c>
      <c r="I13" s="2820">
        <f>'2.Ventas y Cobros (Ej 1º,2º)'!J65</f>
        <v>0</v>
      </c>
      <c r="J13" s="2820">
        <f>'2.Ventas y Cobros (Ej 1º,2º)'!K65</f>
        <v>0</v>
      </c>
      <c r="K13" s="2820">
        <f>'2.Ventas y Cobros (Ej 1º,2º)'!L65</f>
        <v>0</v>
      </c>
      <c r="L13" s="2820">
        <f>'2.Ventas y Cobros (Ej 1º,2º)'!M65</f>
        <v>0</v>
      </c>
      <c r="M13" s="2820">
        <f>'2.Ventas y Cobros (Ej 1º,2º)'!N65</f>
        <v>0</v>
      </c>
      <c r="N13" s="1133">
        <f>'2.Ventas y Cobros (Ej 1º,2º)'!O65</f>
        <v>0</v>
      </c>
      <c r="O13" s="2311">
        <f>SUM(C13:N13)</f>
        <v>0</v>
      </c>
      <c r="P13" s="845"/>
      <c r="T13" s="849">
        <f>'2.Ventas y Cobros (Ej 1º,2º)'!W65</f>
        <v>0</v>
      </c>
      <c r="U13" s="2820">
        <f>'2.Ventas y Cobros (Ej 1º,2º)'!X65</f>
        <v>0</v>
      </c>
      <c r="V13" s="2820">
        <f>'2.Ventas y Cobros (Ej 1º,2º)'!Y65</f>
        <v>0</v>
      </c>
      <c r="W13" s="2820">
        <f>'2.Ventas y Cobros (Ej 1º,2º)'!Z65</f>
        <v>0</v>
      </c>
      <c r="X13" s="2820">
        <f>'2.Ventas y Cobros (Ej 1º,2º)'!AA65</f>
        <v>0</v>
      </c>
      <c r="Y13" s="2820">
        <f>'2.Ventas y Cobros (Ej 1º,2º)'!AB65</f>
        <v>0</v>
      </c>
      <c r="Z13" s="2820">
        <f>'2.Ventas y Cobros (Ej 1º,2º)'!AC65</f>
        <v>0</v>
      </c>
      <c r="AA13" s="2820">
        <f>'2.Ventas y Cobros (Ej 1º,2º)'!AD65</f>
        <v>0</v>
      </c>
      <c r="AB13" s="2820">
        <f>'2.Ventas y Cobros (Ej 1º,2º)'!AE65</f>
        <v>0</v>
      </c>
      <c r="AC13" s="2820">
        <f>'2.Ventas y Cobros (Ej 1º,2º)'!AF65</f>
        <v>0</v>
      </c>
      <c r="AD13" s="2820">
        <f>'2.Ventas y Cobros (Ej 1º,2º)'!AG65</f>
        <v>0</v>
      </c>
      <c r="AE13" s="1133">
        <f>'2.Ventas y Cobros (Ej 1º,2º)'!AH65</f>
        <v>0</v>
      </c>
      <c r="AF13" s="2311">
        <f t="shared" ref="AF13:AF17" si="2">SUM(T13:AE13)</f>
        <v>0</v>
      </c>
      <c r="AG13" s="845"/>
    </row>
    <row r="14" spans="1:33" ht="24.75" customHeight="1">
      <c r="A14" s="2873" t="s">
        <v>137</v>
      </c>
      <c r="B14" s="845"/>
      <c r="C14" s="2886">
        <f>SUM('2.Ventas y Cobros (Ej 1º,2º)'!D70:D71)</f>
        <v>0</v>
      </c>
      <c r="D14" s="2820">
        <f>SUM('2.Ventas y Cobros (Ej 1º,2º)'!E70:E71)</f>
        <v>0</v>
      </c>
      <c r="E14" s="2820">
        <f>SUM('2.Ventas y Cobros (Ej 1º,2º)'!F70:F71)</f>
        <v>0</v>
      </c>
      <c r="F14" s="2820">
        <f>SUM('2.Ventas y Cobros (Ej 1º,2º)'!G70:G71)</f>
        <v>0</v>
      </c>
      <c r="G14" s="2820">
        <f>SUM('2.Ventas y Cobros (Ej 1º,2º)'!H70:H71)</f>
        <v>0</v>
      </c>
      <c r="H14" s="2820">
        <f>SUM('2.Ventas y Cobros (Ej 1º,2º)'!I70:I71)</f>
        <v>0</v>
      </c>
      <c r="I14" s="2820">
        <f>SUM('2.Ventas y Cobros (Ej 1º,2º)'!J70:J71)</f>
        <v>0</v>
      </c>
      <c r="J14" s="2820">
        <f>SUM('2.Ventas y Cobros (Ej 1º,2º)'!K70:K71)</f>
        <v>0</v>
      </c>
      <c r="K14" s="2820">
        <f>SUM('2.Ventas y Cobros (Ej 1º,2º)'!L70:L71)</f>
        <v>0</v>
      </c>
      <c r="L14" s="2820">
        <f>SUM('2.Ventas y Cobros (Ej 1º,2º)'!M70:M71)</f>
        <v>0</v>
      </c>
      <c r="M14" s="2820">
        <f>SUM('2.Ventas y Cobros (Ej 1º,2º)'!N70:N71)</f>
        <v>0</v>
      </c>
      <c r="N14" s="1133">
        <f>SUM('2.Ventas y Cobros (Ej 1º,2º)'!O70:O71)</f>
        <v>0</v>
      </c>
      <c r="O14" s="2311">
        <f>SUM(C14:N14)</f>
        <v>0</v>
      </c>
      <c r="P14" s="845"/>
      <c r="T14" s="849">
        <f>SUM('2.Ventas y Cobros (Ej 1º,2º)'!W70:W71)</f>
        <v>0</v>
      </c>
      <c r="U14" s="2820">
        <f>SUM('2.Ventas y Cobros (Ej 1º,2º)'!X70:X71)</f>
        <v>0</v>
      </c>
      <c r="V14" s="2820">
        <f>SUM('2.Ventas y Cobros (Ej 1º,2º)'!Y70:Y71)</f>
        <v>0</v>
      </c>
      <c r="W14" s="2820">
        <f>SUM('2.Ventas y Cobros (Ej 1º,2º)'!Z70:Z71)</f>
        <v>0</v>
      </c>
      <c r="X14" s="2820">
        <f>SUM('2.Ventas y Cobros (Ej 1º,2º)'!AA70:AA71)</f>
        <v>0</v>
      </c>
      <c r="Y14" s="2820">
        <f>SUM('2.Ventas y Cobros (Ej 1º,2º)'!AB70:AB71)</f>
        <v>0</v>
      </c>
      <c r="Z14" s="2820">
        <f>SUM('2.Ventas y Cobros (Ej 1º,2º)'!AC70:AC71)</f>
        <v>0</v>
      </c>
      <c r="AA14" s="2820">
        <f>SUM('2.Ventas y Cobros (Ej 1º,2º)'!AD70:AD71)</f>
        <v>0</v>
      </c>
      <c r="AB14" s="2820">
        <f>SUM('2.Ventas y Cobros (Ej 1º,2º)'!AE70:AE71)</f>
        <v>0</v>
      </c>
      <c r="AC14" s="2820">
        <f>SUM('2.Ventas y Cobros (Ej 1º,2º)'!AF70:AF71)</f>
        <v>0</v>
      </c>
      <c r="AD14" s="2820">
        <f>SUM('2.Ventas y Cobros (Ej 1º,2º)'!AG70:AG71)</f>
        <v>0</v>
      </c>
      <c r="AE14" s="1133">
        <f>SUM('2.Ventas y Cobros (Ej 1º,2º)'!AH70:AH71)</f>
        <v>0</v>
      </c>
      <c r="AF14" s="2311">
        <f t="shared" si="2"/>
        <v>0</v>
      </c>
      <c r="AG14" s="845"/>
    </row>
    <row r="15" spans="1:33" ht="24.75" customHeight="1">
      <c r="A15" s="2873" t="s">
        <v>155</v>
      </c>
      <c r="B15" s="845"/>
      <c r="C15" s="2886">
        <f>C62</f>
        <v>0</v>
      </c>
      <c r="D15" s="2820">
        <f t="shared" ref="D15:N15" si="3">D62</f>
        <v>0</v>
      </c>
      <c r="E15" s="2820">
        <f t="shared" si="3"/>
        <v>0</v>
      </c>
      <c r="F15" s="2820">
        <f t="shared" si="3"/>
        <v>0</v>
      </c>
      <c r="G15" s="2820">
        <f t="shared" si="3"/>
        <v>0</v>
      </c>
      <c r="H15" s="2820">
        <f t="shared" si="3"/>
        <v>0</v>
      </c>
      <c r="I15" s="2820">
        <f t="shared" si="3"/>
        <v>0</v>
      </c>
      <c r="J15" s="2820">
        <f t="shared" si="3"/>
        <v>0</v>
      </c>
      <c r="K15" s="2820">
        <f t="shared" si="3"/>
        <v>0</v>
      </c>
      <c r="L15" s="2820">
        <f t="shared" si="3"/>
        <v>0</v>
      </c>
      <c r="M15" s="2820">
        <f t="shared" si="3"/>
        <v>0</v>
      </c>
      <c r="N15" s="1133">
        <f t="shared" si="3"/>
        <v>0</v>
      </c>
      <c r="O15" s="2312">
        <f t="shared" ref="O15:O48" si="4">SUM(C15:N15)</f>
        <v>0</v>
      </c>
      <c r="P15" s="1103"/>
      <c r="T15" s="849">
        <f>T62</f>
        <v>0</v>
      </c>
      <c r="U15" s="2820">
        <f t="shared" ref="U15:AE15" si="5">U62</f>
        <v>0</v>
      </c>
      <c r="V15" s="2820">
        <f t="shared" si="5"/>
        <v>0</v>
      </c>
      <c r="W15" s="2820">
        <f t="shared" si="5"/>
        <v>0</v>
      </c>
      <c r="X15" s="2820">
        <f t="shared" si="5"/>
        <v>0</v>
      </c>
      <c r="Y15" s="2820">
        <f t="shared" si="5"/>
        <v>0</v>
      </c>
      <c r="Z15" s="2820">
        <f t="shared" si="5"/>
        <v>0</v>
      </c>
      <c r="AA15" s="2820">
        <f t="shared" si="5"/>
        <v>0</v>
      </c>
      <c r="AB15" s="2820">
        <f t="shared" si="5"/>
        <v>0</v>
      </c>
      <c r="AC15" s="2820">
        <f t="shared" si="5"/>
        <v>0</v>
      </c>
      <c r="AD15" s="2820">
        <f t="shared" si="5"/>
        <v>0</v>
      </c>
      <c r="AE15" s="1133">
        <f t="shared" si="5"/>
        <v>0</v>
      </c>
      <c r="AF15" s="2312">
        <f t="shared" si="2"/>
        <v>0</v>
      </c>
      <c r="AG15" s="845"/>
    </row>
    <row r="16" spans="1:33" ht="24.75" customHeight="1">
      <c r="A16" s="2874" t="s">
        <v>763</v>
      </c>
      <c r="B16" s="845"/>
      <c r="C16" s="2887"/>
      <c r="D16" s="2821"/>
      <c r="E16" s="2821"/>
      <c r="F16" s="2821"/>
      <c r="G16" s="2821"/>
      <c r="H16" s="2821"/>
      <c r="I16" s="2821"/>
      <c r="J16" s="2821"/>
      <c r="K16" s="2821"/>
      <c r="L16" s="2821"/>
      <c r="M16" s="2821"/>
      <c r="N16" s="2301"/>
      <c r="O16" s="2312">
        <f t="shared" si="4"/>
        <v>0</v>
      </c>
      <c r="P16" s="1104"/>
      <c r="T16" s="2833"/>
      <c r="U16" s="2821"/>
      <c r="V16" s="2821"/>
      <c r="W16" s="2821"/>
      <c r="X16" s="2821"/>
      <c r="Y16" s="2821"/>
      <c r="Z16" s="2821"/>
      <c r="AA16" s="2821"/>
      <c r="AB16" s="2821"/>
      <c r="AC16" s="2821"/>
      <c r="AD16" s="2821"/>
      <c r="AE16" s="2301"/>
      <c r="AF16" s="2312">
        <f t="shared" si="2"/>
        <v>0</v>
      </c>
      <c r="AG16" s="1104" t="s">
        <v>353</v>
      </c>
    </row>
    <row r="17" spans="1:34" ht="24.75" customHeight="1">
      <c r="A17" s="2873" t="s">
        <v>76</v>
      </c>
      <c r="B17" s="845"/>
      <c r="C17" s="2886">
        <f>'5. Costes RRHH (Ej 1º,2º)'!$N$24/3</f>
        <v>0</v>
      </c>
      <c r="D17" s="2820">
        <f>C17</f>
        <v>0</v>
      </c>
      <c r="E17" s="2820">
        <f t="shared" ref="E17:N17" si="6">D17</f>
        <v>0</v>
      </c>
      <c r="F17" s="2820">
        <f>'5. Costes RRHH (Ej 1º,2º)'!$R$24/3</f>
        <v>0</v>
      </c>
      <c r="G17" s="2820">
        <f t="shared" si="6"/>
        <v>0</v>
      </c>
      <c r="H17" s="2820">
        <f t="shared" si="6"/>
        <v>0</v>
      </c>
      <c r="I17" s="2820">
        <f>'5. Costes RRHH (Ej 1º,2º)'!$V$24/3</f>
        <v>0</v>
      </c>
      <c r="J17" s="2820">
        <f t="shared" si="6"/>
        <v>0</v>
      </c>
      <c r="K17" s="2820">
        <f t="shared" si="6"/>
        <v>0</v>
      </c>
      <c r="L17" s="2820">
        <f>'5. Costes RRHH (Ej 1º,2º)'!$Z$24/3</f>
        <v>0</v>
      </c>
      <c r="M17" s="2820">
        <f t="shared" si="6"/>
        <v>0</v>
      </c>
      <c r="N17" s="1133">
        <f t="shared" si="6"/>
        <v>0</v>
      </c>
      <c r="O17" s="2312">
        <f>SUM(C17:N17)</f>
        <v>0</v>
      </c>
      <c r="P17" s="1464"/>
      <c r="T17" s="2834">
        <f>'5. Costes RRHH (Ej 1º,2º)'!$AQ$24/3</f>
        <v>0</v>
      </c>
      <c r="U17" s="2820">
        <f>T17</f>
        <v>0</v>
      </c>
      <c r="V17" s="2820">
        <f>U17</f>
        <v>0</v>
      </c>
      <c r="W17" s="2820">
        <f>'5. Costes RRHH (Ej 1º,2º)'!$AU$24/3</f>
        <v>0</v>
      </c>
      <c r="X17" s="2820">
        <f>W17</f>
        <v>0</v>
      </c>
      <c r="Y17" s="2820">
        <f>X17</f>
        <v>0</v>
      </c>
      <c r="Z17" s="2820">
        <f>'5. Costes RRHH (Ej 1º,2º)'!$AY$24/3</f>
        <v>0</v>
      </c>
      <c r="AA17" s="2820">
        <f>Z17</f>
        <v>0</v>
      </c>
      <c r="AB17" s="2820">
        <f>AA17</f>
        <v>0</v>
      </c>
      <c r="AC17" s="2820">
        <f>'5. Costes RRHH (Ej 1º,2º)'!$BC$24/3</f>
        <v>0</v>
      </c>
      <c r="AD17" s="2820">
        <f>AC17</f>
        <v>0</v>
      </c>
      <c r="AE17" s="1133">
        <f>AD17</f>
        <v>0</v>
      </c>
      <c r="AF17" s="2312">
        <f t="shared" si="2"/>
        <v>0</v>
      </c>
      <c r="AG17" s="1103"/>
    </row>
    <row r="18" spans="1:34" s="791" customFormat="1" ht="24.75" customHeight="1" thickBot="1">
      <c r="A18" s="2875" t="s">
        <v>62</v>
      </c>
      <c r="B18" s="748"/>
      <c r="C18" s="2888">
        <f t="shared" ref="C18:N18" si="7">SUM(C13:C17)</f>
        <v>0</v>
      </c>
      <c r="D18" s="2822">
        <f t="shared" si="7"/>
        <v>0</v>
      </c>
      <c r="E18" s="2822">
        <f t="shared" si="7"/>
        <v>0</v>
      </c>
      <c r="F18" s="2822">
        <f t="shared" si="7"/>
        <v>0</v>
      </c>
      <c r="G18" s="2822">
        <f t="shared" si="7"/>
        <v>0</v>
      </c>
      <c r="H18" s="2822">
        <f t="shared" si="7"/>
        <v>0</v>
      </c>
      <c r="I18" s="2822">
        <f t="shared" si="7"/>
        <v>0</v>
      </c>
      <c r="J18" s="2822">
        <f t="shared" si="7"/>
        <v>0</v>
      </c>
      <c r="K18" s="2822">
        <f t="shared" si="7"/>
        <v>0</v>
      </c>
      <c r="L18" s="2822">
        <f t="shared" si="7"/>
        <v>0</v>
      </c>
      <c r="M18" s="2822">
        <f t="shared" si="7"/>
        <v>0</v>
      </c>
      <c r="N18" s="2302">
        <f t="shared" si="7"/>
        <v>0</v>
      </c>
      <c r="O18" s="2314">
        <f t="shared" si="4"/>
        <v>0</v>
      </c>
      <c r="P18" s="748"/>
      <c r="R18" s="2328"/>
      <c r="T18" s="2835">
        <f t="shared" ref="T18:AE18" si="8">SUM(T13:T17)</f>
        <v>0</v>
      </c>
      <c r="U18" s="2822">
        <f t="shared" si="8"/>
        <v>0</v>
      </c>
      <c r="V18" s="2822">
        <f t="shared" si="8"/>
        <v>0</v>
      </c>
      <c r="W18" s="2822">
        <f t="shared" si="8"/>
        <v>0</v>
      </c>
      <c r="X18" s="2822">
        <f t="shared" si="8"/>
        <v>0</v>
      </c>
      <c r="Y18" s="2822">
        <f t="shared" si="8"/>
        <v>0</v>
      </c>
      <c r="Z18" s="2822">
        <f t="shared" si="8"/>
        <v>0</v>
      </c>
      <c r="AA18" s="2822">
        <f t="shared" si="8"/>
        <v>0</v>
      </c>
      <c r="AB18" s="2822">
        <f t="shared" si="8"/>
        <v>0</v>
      </c>
      <c r="AC18" s="2822">
        <f t="shared" si="8"/>
        <v>0</v>
      </c>
      <c r="AD18" s="2822">
        <f t="shared" si="8"/>
        <v>0</v>
      </c>
      <c r="AE18" s="2302">
        <f t="shared" si="8"/>
        <v>0</v>
      </c>
      <c r="AF18" s="2314">
        <f t="shared" ref="AF18:AF37" si="9">SUM(T18:AE18)</f>
        <v>0</v>
      </c>
      <c r="AG18" s="748"/>
    </row>
    <row r="19" spans="1:34" ht="24.75" customHeight="1" thickTop="1">
      <c r="A19" s="2873" t="s">
        <v>239</v>
      </c>
      <c r="B19" s="845"/>
      <c r="C19" s="2886">
        <f>'3.Costes D.V. y Pagos (1º,2º)'!D75+('3.Costes D.V. y Pagos (1º,2º)'!D37+'3.Costes D.V. y Pagos (1º,2º)'!D38)*0</f>
        <v>0</v>
      </c>
      <c r="D19" s="2820">
        <f>'3.Costes D.V. y Pagos (1º,2º)'!E75+('3.Costes D.V. y Pagos (1º,2º)'!E37+'3.Costes D.V. y Pagos (1º,2º)'!E38)*0</f>
        <v>0</v>
      </c>
      <c r="E19" s="2820">
        <f>'3.Costes D.V. y Pagos (1º,2º)'!F75+('3.Costes D.V. y Pagos (1º,2º)'!F37+'3.Costes D.V. y Pagos (1º,2º)'!F38)*0</f>
        <v>0</v>
      </c>
      <c r="F19" s="2820">
        <f>'3.Costes D.V. y Pagos (1º,2º)'!G75+('3.Costes D.V. y Pagos (1º,2º)'!G37+'3.Costes D.V. y Pagos (1º,2º)'!G38)*0</f>
        <v>0</v>
      </c>
      <c r="G19" s="2820">
        <f>'3.Costes D.V. y Pagos (1º,2º)'!H75+('3.Costes D.V. y Pagos (1º,2º)'!H37+'3.Costes D.V. y Pagos (1º,2º)'!H38)*0</f>
        <v>0</v>
      </c>
      <c r="H19" s="2820">
        <f>'3.Costes D.V. y Pagos (1º,2º)'!I75+('3.Costes D.V. y Pagos (1º,2º)'!I37+'3.Costes D.V. y Pagos (1º,2º)'!I38)*0</f>
        <v>0</v>
      </c>
      <c r="I19" s="2820">
        <f>'3.Costes D.V. y Pagos (1º,2º)'!J75+('3.Costes D.V. y Pagos (1º,2º)'!J37+'3.Costes D.V. y Pagos (1º,2º)'!J38)*0</f>
        <v>0</v>
      </c>
      <c r="J19" s="2820">
        <f>'3.Costes D.V. y Pagos (1º,2º)'!K75+('3.Costes D.V. y Pagos (1º,2º)'!K37+'3.Costes D.V. y Pagos (1º,2º)'!K38)*0</f>
        <v>0</v>
      </c>
      <c r="K19" s="2820">
        <f>'3.Costes D.V. y Pagos (1º,2º)'!L75+('3.Costes D.V. y Pagos (1º,2º)'!L37+'3.Costes D.V. y Pagos (1º,2º)'!L38)*0</f>
        <v>0</v>
      </c>
      <c r="L19" s="2820">
        <f>'3.Costes D.V. y Pagos (1º,2º)'!M75+('3.Costes D.V. y Pagos (1º,2º)'!M37+'3.Costes D.V. y Pagos (1º,2º)'!M38)*0</f>
        <v>0</v>
      </c>
      <c r="M19" s="2820">
        <f>'3.Costes D.V. y Pagos (1º,2º)'!N75+('3.Costes D.V. y Pagos (1º,2º)'!N37+'3.Costes D.V. y Pagos (1º,2º)'!N38)*0</f>
        <v>0</v>
      </c>
      <c r="N19" s="1133">
        <f>'3.Costes D.V. y Pagos (1º,2º)'!O75+('3.Costes D.V. y Pagos (1º,2º)'!O37+'3.Costes D.V. y Pagos (1º,2º)'!O38)*0</f>
        <v>0</v>
      </c>
      <c r="O19" s="2312">
        <f t="shared" si="4"/>
        <v>0</v>
      </c>
      <c r="P19" s="2322" t="s">
        <v>276</v>
      </c>
      <c r="T19" s="849">
        <f>'3.Costes D.V. y Pagos (1º,2º)'!Y75+('3.Costes D.V. y Pagos (1º,2º)'!Y38+'3.Costes D.V. y Pagos (1º,2º)'!Y40)*0</f>
        <v>0</v>
      </c>
      <c r="U19" s="2827">
        <f>'3.Costes D.V. y Pagos (1º,2º)'!Z75+('3.Costes D.V. y Pagos (1º,2º)'!Z38+'3.Costes D.V. y Pagos (1º,2º)'!Z40)*0</f>
        <v>0</v>
      </c>
      <c r="V19" s="2827">
        <f>'3.Costes D.V. y Pagos (1º,2º)'!AA75+('3.Costes D.V. y Pagos (1º,2º)'!AA38+'3.Costes D.V. y Pagos (1º,2º)'!AA40)*0</f>
        <v>0</v>
      </c>
      <c r="W19" s="2827">
        <f>'3.Costes D.V. y Pagos (1º,2º)'!AB75+('3.Costes D.V. y Pagos (1º,2º)'!AB38+'3.Costes D.V. y Pagos (1º,2º)'!AB40)*0</f>
        <v>0</v>
      </c>
      <c r="X19" s="2827">
        <f>'3.Costes D.V. y Pagos (1º,2º)'!AC75+('3.Costes D.V. y Pagos (1º,2º)'!AC38+'3.Costes D.V. y Pagos (1º,2º)'!AC40)*0</f>
        <v>0</v>
      </c>
      <c r="Y19" s="2827">
        <f>'3.Costes D.V. y Pagos (1º,2º)'!AD75+('3.Costes D.V. y Pagos (1º,2º)'!AD38+'3.Costes D.V. y Pagos (1º,2º)'!AD40)*0</f>
        <v>0</v>
      </c>
      <c r="Z19" s="2827">
        <f>'3.Costes D.V. y Pagos (1º,2º)'!AE75+('3.Costes D.V. y Pagos (1º,2º)'!AE38+'3.Costes D.V. y Pagos (1º,2º)'!AE40)*0</f>
        <v>0</v>
      </c>
      <c r="AA19" s="2827">
        <f>'3.Costes D.V. y Pagos (1º,2º)'!AF75+('3.Costes D.V. y Pagos (1º,2º)'!AF38+'3.Costes D.V. y Pagos (1º,2º)'!AF40)*0</f>
        <v>0</v>
      </c>
      <c r="AB19" s="2827">
        <f>'3.Costes D.V. y Pagos (1º,2º)'!AG75+('3.Costes D.V. y Pagos (1º,2º)'!AG38+'3.Costes D.V. y Pagos (1º,2º)'!AG40)*0</f>
        <v>0</v>
      </c>
      <c r="AC19" s="2827">
        <f>'3.Costes D.V. y Pagos (1º,2º)'!AH75+('3.Costes D.V. y Pagos (1º,2º)'!AH38+'3.Costes D.V. y Pagos (1º,2º)'!AH40)*0</f>
        <v>0</v>
      </c>
      <c r="AD19" s="2827">
        <f>'3.Costes D.V. y Pagos (1º,2º)'!AI75+('3.Costes D.V. y Pagos (1º,2º)'!AI38+'3.Costes D.V. y Pagos (1º,2º)'!AI40)*0</f>
        <v>0</v>
      </c>
      <c r="AE19" s="1133">
        <f>'3.Costes D.V. y Pagos (1º,2º)'!AJ75+('3.Costes D.V. y Pagos (1º,2º)'!AJ38+'3.Costes D.V. y Pagos (1º,2º)'!AJ40)*0</f>
        <v>0</v>
      </c>
      <c r="AF19" s="2312">
        <f t="shared" si="9"/>
        <v>0</v>
      </c>
      <c r="AG19" s="2322" t="s">
        <v>276</v>
      </c>
    </row>
    <row r="20" spans="1:34" ht="24.75" hidden="1" customHeight="1" thickTop="1">
      <c r="A20" s="2876" t="s">
        <v>594</v>
      </c>
      <c r="B20" s="845"/>
      <c r="C20" s="2886">
        <f>SUM('3.Costes D.V. y Pagos (1º,2º)'!D80:D82)-'3.Costes D.V. y Pagos (1º,2º)'!D81</f>
        <v>0</v>
      </c>
      <c r="D20" s="2820">
        <f>SUM('3.Costes D.V. y Pagos (1º,2º)'!E80:E82)-'3.Costes D.V. y Pagos (1º,2º)'!E81</f>
        <v>0</v>
      </c>
      <c r="E20" s="2820">
        <f>SUM('3.Costes D.V. y Pagos (1º,2º)'!F80:F82)-'3.Costes D.V. y Pagos (1º,2º)'!F81</f>
        <v>0</v>
      </c>
      <c r="F20" s="2820">
        <f>SUM('3.Costes D.V. y Pagos (1º,2º)'!G80:G82)-'3.Costes D.V. y Pagos (1º,2º)'!G81</f>
        <v>0</v>
      </c>
      <c r="G20" s="2820">
        <f>SUM('3.Costes D.V. y Pagos (1º,2º)'!H80:H82)-'3.Costes D.V. y Pagos (1º,2º)'!H81</f>
        <v>0</v>
      </c>
      <c r="H20" s="2820">
        <f>SUM('3.Costes D.V. y Pagos (1º,2º)'!I80:I82)-'3.Costes D.V. y Pagos (1º,2º)'!I81</f>
        <v>0</v>
      </c>
      <c r="I20" s="2820">
        <f>SUM('3.Costes D.V. y Pagos (1º,2º)'!J80:J82)-'3.Costes D.V. y Pagos (1º,2º)'!J81</f>
        <v>0</v>
      </c>
      <c r="J20" s="2820">
        <f>SUM('3.Costes D.V. y Pagos (1º,2º)'!K80:K82)-'3.Costes D.V. y Pagos (1º,2º)'!K81</f>
        <v>0</v>
      </c>
      <c r="K20" s="2820">
        <f>SUM('3.Costes D.V. y Pagos (1º,2º)'!L80:L82)-'3.Costes D.V. y Pagos (1º,2º)'!L81</f>
        <v>0</v>
      </c>
      <c r="L20" s="2820">
        <f>SUM('3.Costes D.V. y Pagos (1º,2º)'!M80:M82)-'3.Costes D.V. y Pagos (1º,2º)'!M81</f>
        <v>0</v>
      </c>
      <c r="M20" s="2820">
        <f>SUM('3.Costes D.V. y Pagos (1º,2º)'!N80:N82)-'3.Costes D.V. y Pagos (1º,2º)'!N81</f>
        <v>0</v>
      </c>
      <c r="N20" s="1133">
        <f>SUM('3.Costes D.V. y Pagos (1º,2º)'!O80:O82)-'3.Costes D.V. y Pagos (1º,2º)'!O81</f>
        <v>0</v>
      </c>
      <c r="O20" s="2312">
        <f t="shared" si="4"/>
        <v>0</v>
      </c>
      <c r="P20" s="2322" t="s">
        <v>276</v>
      </c>
      <c r="T20" s="849">
        <f>SUM('3.Costes D.V. y Pagos (1º,2º)'!Y80:Y82)-'3.Costes D.V. y Pagos (1º,2º)'!Y81</f>
        <v>0</v>
      </c>
      <c r="U20" s="2827">
        <f>SUM('3.Costes D.V. y Pagos (1º,2º)'!Z80:Z82)-'3.Costes D.V. y Pagos (1º,2º)'!Z81</f>
        <v>0</v>
      </c>
      <c r="V20" s="2827">
        <f>SUM('3.Costes D.V. y Pagos (1º,2º)'!AA80:AA82)-'3.Costes D.V. y Pagos (1º,2º)'!AA81</f>
        <v>0</v>
      </c>
      <c r="W20" s="2827">
        <f>SUM('3.Costes D.V. y Pagos (1º,2º)'!AB80:AB82)-'3.Costes D.V. y Pagos (1º,2º)'!AB81</f>
        <v>0</v>
      </c>
      <c r="X20" s="2827">
        <f>SUM('3.Costes D.V. y Pagos (1º,2º)'!AC80:AC82)-'3.Costes D.V. y Pagos (1º,2º)'!AC81</f>
        <v>0</v>
      </c>
      <c r="Y20" s="2827">
        <f>SUM('3.Costes D.V. y Pagos (1º,2º)'!AD80:AD82)-'3.Costes D.V. y Pagos (1º,2º)'!AD81</f>
        <v>0</v>
      </c>
      <c r="Z20" s="2827">
        <f>SUM('3.Costes D.V. y Pagos (1º,2º)'!AE80:AE82)-'3.Costes D.V. y Pagos (1º,2º)'!AE81</f>
        <v>0</v>
      </c>
      <c r="AA20" s="2827">
        <f>SUM('3.Costes D.V. y Pagos (1º,2º)'!AF80:AF82)-'3.Costes D.V. y Pagos (1º,2º)'!AF81</f>
        <v>0</v>
      </c>
      <c r="AB20" s="2827">
        <f>SUM('3.Costes D.V. y Pagos (1º,2º)'!AG80:AG82)-'3.Costes D.V. y Pagos (1º,2º)'!AG81</f>
        <v>0</v>
      </c>
      <c r="AC20" s="2827">
        <f>SUM('3.Costes D.V. y Pagos (1º,2º)'!AH80:AH82)-'3.Costes D.V. y Pagos (1º,2º)'!AH81</f>
        <v>0</v>
      </c>
      <c r="AD20" s="2827">
        <f>SUM('3.Costes D.V. y Pagos (1º,2º)'!AI80:AI82)-'3.Costes D.V. y Pagos (1º,2º)'!AI81</f>
        <v>0</v>
      </c>
      <c r="AE20" s="1133">
        <f>SUM('3.Costes D.V. y Pagos (1º,2º)'!AJ80:AJ82)-'3.Costes D.V. y Pagos (1º,2º)'!AJ81</f>
        <v>0</v>
      </c>
      <c r="AF20" s="2312">
        <f t="shared" si="9"/>
        <v>0</v>
      </c>
      <c r="AG20" s="2322" t="s">
        <v>276</v>
      </c>
    </row>
    <row r="21" spans="1:34" ht="24.75" customHeight="1" thickBot="1">
      <c r="A21" s="2873" t="s">
        <v>682</v>
      </c>
      <c r="B21" s="845"/>
      <c r="C21" s="2887">
        <f>('6. P y G (Ej 1º,2º)'!C14)</f>
        <v>0</v>
      </c>
      <c r="D21" s="2821">
        <f>('6. P y G (Ej 1º,2º)'!D14)</f>
        <v>0</v>
      </c>
      <c r="E21" s="2821">
        <f>('6. P y G (Ej 1º,2º)'!E14)</f>
        <v>0</v>
      </c>
      <c r="F21" s="2821">
        <f>('6. P y G (Ej 1º,2º)'!F14)</f>
        <v>0</v>
      </c>
      <c r="G21" s="2821">
        <f>('6. P y G (Ej 1º,2º)'!G14)</f>
        <v>0</v>
      </c>
      <c r="H21" s="2821">
        <f>('6. P y G (Ej 1º,2º)'!H14)</f>
        <v>0</v>
      </c>
      <c r="I21" s="2821">
        <f>('6. P y G (Ej 1º,2º)'!I14)</f>
        <v>0</v>
      </c>
      <c r="J21" s="2821">
        <f>('6. P y G (Ej 1º,2º)'!J14)</f>
        <v>0</v>
      </c>
      <c r="K21" s="2821">
        <f>('6. P y G (Ej 1º,2º)'!K14)</f>
        <v>0</v>
      </c>
      <c r="L21" s="2821">
        <f>('6. P y G (Ej 1º,2º)'!L14)</f>
        <v>0</v>
      </c>
      <c r="M21" s="2821">
        <f>('6. P y G (Ej 1º,2º)'!M14)</f>
        <v>0</v>
      </c>
      <c r="N21" s="2301">
        <f>('6. P y G (Ej 1º,2º)'!N14)</f>
        <v>0</v>
      </c>
      <c r="O21" s="2312">
        <f t="shared" si="4"/>
        <v>0</v>
      </c>
      <c r="P21" s="847">
        <f>'6. P y G (Ej 1º,2º)'!O14-O21</f>
        <v>0</v>
      </c>
      <c r="T21" s="2833">
        <f>('6. P y G (Ej 1º,2º)'!T14)</f>
        <v>0</v>
      </c>
      <c r="U21" s="2821">
        <f>('6. P y G (Ej 1º,2º)'!U14)</f>
        <v>0</v>
      </c>
      <c r="V21" s="2821">
        <f>('6. P y G (Ej 1º,2º)'!V14)</f>
        <v>0</v>
      </c>
      <c r="W21" s="2821">
        <f>('6. P y G (Ej 1º,2º)'!W14)</f>
        <v>0</v>
      </c>
      <c r="X21" s="2821">
        <f>('6. P y G (Ej 1º,2º)'!X14)</f>
        <v>0</v>
      </c>
      <c r="Y21" s="2821">
        <f>('6. P y G (Ej 1º,2º)'!Y14)</f>
        <v>0</v>
      </c>
      <c r="Z21" s="2821">
        <f>('6. P y G (Ej 1º,2º)'!Z14)</f>
        <v>0</v>
      </c>
      <c r="AA21" s="2821">
        <f>('6. P y G (Ej 1º,2º)'!AA14)</f>
        <v>0</v>
      </c>
      <c r="AB21" s="2821">
        <f>('6. P y G (Ej 1º,2º)'!AB14)</f>
        <v>0</v>
      </c>
      <c r="AC21" s="2821">
        <f>('6. P y G (Ej 1º,2º)'!AC14)</f>
        <v>0</v>
      </c>
      <c r="AD21" s="2821">
        <f>('6. P y G (Ej 1º,2º)'!AD14)</f>
        <v>0</v>
      </c>
      <c r="AE21" s="2301">
        <f>('6. P y G (Ej 1º,2º)'!AE14)</f>
        <v>0</v>
      </c>
      <c r="AF21" s="2312">
        <f t="shared" si="9"/>
        <v>0</v>
      </c>
      <c r="AG21" s="847">
        <f>'6. P y G (Ej 1º,2º)'!AF14+P21-AF21</f>
        <v>0</v>
      </c>
    </row>
    <row r="22" spans="1:34" ht="24.75" customHeight="1" thickTop="1">
      <c r="A22" s="2873" t="s">
        <v>683</v>
      </c>
      <c r="B22" s="845"/>
      <c r="C22" s="2889">
        <f>'6. P y G (Ej 1º,2º)'!C15</f>
        <v>0</v>
      </c>
      <c r="D22" s="2823">
        <f>'6. P y G (Ej 1º,2º)'!D15</f>
        <v>0</v>
      </c>
      <c r="E22" s="2823">
        <f>'6. P y G (Ej 1º,2º)'!E15</f>
        <v>0</v>
      </c>
      <c r="F22" s="2823">
        <f>'6. P y G (Ej 1º,2º)'!F15</f>
        <v>0</v>
      </c>
      <c r="G22" s="2823">
        <f>'6. P y G (Ej 1º,2º)'!G15</f>
        <v>0</v>
      </c>
      <c r="H22" s="2823">
        <f>'6. P y G (Ej 1º,2º)'!H15</f>
        <v>0</v>
      </c>
      <c r="I22" s="2823">
        <f>'6. P y G (Ej 1º,2º)'!I15</f>
        <v>0</v>
      </c>
      <c r="J22" s="2823">
        <f>'6. P y G (Ej 1º,2º)'!J15</f>
        <v>0</v>
      </c>
      <c r="K22" s="2823">
        <f>'6. P y G (Ej 1º,2º)'!K15</f>
        <v>0</v>
      </c>
      <c r="L22" s="2823">
        <f>'6. P y G (Ej 1º,2º)'!L15</f>
        <v>0</v>
      </c>
      <c r="M22" s="2823">
        <f>'6. P y G (Ej 1º,2º)'!M15</f>
        <v>0</v>
      </c>
      <c r="N22" s="2303">
        <f>'6. P y G (Ej 1º,2º)'!N15</f>
        <v>0</v>
      </c>
      <c r="O22" s="2312">
        <f t="shared" si="4"/>
        <v>0</v>
      </c>
      <c r="P22" s="1392"/>
      <c r="Q22" s="846"/>
      <c r="R22" s="2329"/>
      <c r="S22" s="846"/>
      <c r="T22" s="2836">
        <f>'6. P y G (Ej 1º,2º)'!T15</f>
        <v>0</v>
      </c>
      <c r="U22" s="2823">
        <f>'6. P y G (Ej 1º,2º)'!U15</f>
        <v>0</v>
      </c>
      <c r="V22" s="2823">
        <f>'6. P y G (Ej 1º,2º)'!V15</f>
        <v>0</v>
      </c>
      <c r="W22" s="2823">
        <f>'6. P y G (Ej 1º,2º)'!W15</f>
        <v>0</v>
      </c>
      <c r="X22" s="2823">
        <f>'6. P y G (Ej 1º,2º)'!X15</f>
        <v>0</v>
      </c>
      <c r="Y22" s="2823">
        <f>'6. P y G (Ej 1º,2º)'!Y15</f>
        <v>0</v>
      </c>
      <c r="Z22" s="2823">
        <f>'6. P y G (Ej 1º,2º)'!Z15</f>
        <v>0</v>
      </c>
      <c r="AA22" s="2823">
        <f>'6. P y G (Ej 1º,2º)'!AA15</f>
        <v>0</v>
      </c>
      <c r="AB22" s="2823">
        <f>'6. P y G (Ej 1º,2º)'!AB15</f>
        <v>0</v>
      </c>
      <c r="AC22" s="2823">
        <f>'6. P y G (Ej 1º,2º)'!AC15</f>
        <v>0</v>
      </c>
      <c r="AD22" s="2823">
        <f>'6. P y G (Ej 1º,2º)'!AD15</f>
        <v>0</v>
      </c>
      <c r="AE22" s="2303">
        <f>'6. P y G (Ej 1º,2º)'!AE15</f>
        <v>0</v>
      </c>
      <c r="AF22" s="2320">
        <f t="shared" si="9"/>
        <v>0</v>
      </c>
      <c r="AG22" s="1105" t="s">
        <v>411</v>
      </c>
      <c r="AH22" s="846"/>
    </row>
    <row r="23" spans="1:34" ht="24.75" hidden="1" customHeight="1" thickBot="1">
      <c r="A23" s="2876" t="s">
        <v>142</v>
      </c>
      <c r="B23" s="845"/>
      <c r="C23" s="2886">
        <f>'3.Costes D.V. y Pagos (1º,2º)'!D81</f>
        <v>0</v>
      </c>
      <c r="D23" s="2820">
        <f>'3.Costes D.V. y Pagos (1º,2º)'!E81</f>
        <v>0</v>
      </c>
      <c r="E23" s="2820">
        <f>'3.Costes D.V. y Pagos (1º,2º)'!F81</f>
        <v>0</v>
      </c>
      <c r="F23" s="2820">
        <f>'3.Costes D.V. y Pagos (1º,2º)'!G81</f>
        <v>0</v>
      </c>
      <c r="G23" s="2820">
        <f>'3.Costes D.V. y Pagos (1º,2º)'!H81</f>
        <v>0</v>
      </c>
      <c r="H23" s="2820">
        <f>'3.Costes D.V. y Pagos (1º,2º)'!I81</f>
        <v>0</v>
      </c>
      <c r="I23" s="2820">
        <f>'3.Costes D.V. y Pagos (1º,2º)'!J81</f>
        <v>0</v>
      </c>
      <c r="J23" s="2820">
        <f>'3.Costes D.V. y Pagos (1º,2º)'!K81</f>
        <v>0</v>
      </c>
      <c r="K23" s="2820">
        <f>'3.Costes D.V. y Pagos (1º,2º)'!L81</f>
        <v>0</v>
      </c>
      <c r="L23" s="2820">
        <f>'3.Costes D.V. y Pagos (1º,2º)'!M81</f>
        <v>0</v>
      </c>
      <c r="M23" s="2820">
        <f>'3.Costes D.V. y Pagos (1º,2º)'!N81</f>
        <v>0</v>
      </c>
      <c r="N23" s="1133">
        <f>'3.Costes D.V. y Pagos (1º,2º)'!O81</f>
        <v>0</v>
      </c>
      <c r="O23" s="2312">
        <f t="shared" si="4"/>
        <v>0</v>
      </c>
      <c r="P23" s="1489">
        <f>Salarios_a_Pagar-'3.Costes D.V. y Pagos (1º,2º)'!P81</f>
        <v>0</v>
      </c>
      <c r="T23" s="849">
        <f>'3.Costes D.V. y Pagos (1º,2º)'!Y81</f>
        <v>0</v>
      </c>
      <c r="U23" s="2820">
        <f>'3.Costes D.V. y Pagos (1º,2º)'!Z81</f>
        <v>0</v>
      </c>
      <c r="V23" s="2820">
        <f>'3.Costes D.V. y Pagos (1º,2º)'!AA81</f>
        <v>0</v>
      </c>
      <c r="W23" s="2820">
        <f>'3.Costes D.V. y Pagos (1º,2º)'!AB81</f>
        <v>0</v>
      </c>
      <c r="X23" s="2820">
        <f>'3.Costes D.V. y Pagos (1º,2º)'!AC81</f>
        <v>0</v>
      </c>
      <c r="Y23" s="2820">
        <f>'3.Costes D.V. y Pagos (1º,2º)'!AD81</f>
        <v>0</v>
      </c>
      <c r="Z23" s="2820">
        <f>'3.Costes D.V. y Pagos (1º,2º)'!AE81</f>
        <v>0</v>
      </c>
      <c r="AA23" s="2820">
        <f>'3.Costes D.V. y Pagos (1º,2º)'!AF81</f>
        <v>0</v>
      </c>
      <c r="AB23" s="2820">
        <f>'3.Costes D.V. y Pagos (1º,2º)'!AG81</f>
        <v>0</v>
      </c>
      <c r="AC23" s="2820">
        <f>'3.Costes D.V. y Pagos (1º,2º)'!AH81</f>
        <v>0</v>
      </c>
      <c r="AD23" s="2820">
        <f>'3.Costes D.V. y Pagos (1º,2º)'!AI81</f>
        <v>0</v>
      </c>
      <c r="AE23" s="1133">
        <f>'3.Costes D.V. y Pagos (1º,2º)'!AJ81</f>
        <v>0</v>
      </c>
      <c r="AF23" s="2312">
        <f t="shared" si="9"/>
        <v>0</v>
      </c>
      <c r="AG23" s="847">
        <f>P23-'3.Costes D.V. y Pagos (1º,2º)'!AK81</f>
        <v>0</v>
      </c>
    </row>
    <row r="24" spans="1:34" ht="24.75" customHeight="1">
      <c r="A24" s="2873" t="str">
        <f>'6. P y G (Ej 1º,2º)'!A16</f>
        <v>Cargas Sociales (RETA y Seg Soc a Cargo Emp)</v>
      </c>
      <c r="B24" s="845"/>
      <c r="C24" s="2886">
        <f>'6. P y G (Ej 1º,2º)'!C16</f>
        <v>0</v>
      </c>
      <c r="D24" s="2820">
        <f>'6. P y G (Ej 1º,2º)'!D16</f>
        <v>0</v>
      </c>
      <c r="E24" s="2820">
        <f>'6. P y G (Ej 1º,2º)'!E16</f>
        <v>0</v>
      </c>
      <c r="F24" s="2820">
        <f>'6. P y G (Ej 1º,2º)'!F16</f>
        <v>0</v>
      </c>
      <c r="G24" s="2820">
        <f>'6. P y G (Ej 1º,2º)'!G16</f>
        <v>0</v>
      </c>
      <c r="H24" s="2820">
        <f>'6. P y G (Ej 1º,2º)'!H16</f>
        <v>0</v>
      </c>
      <c r="I24" s="2820">
        <f>'6. P y G (Ej 1º,2º)'!I16</f>
        <v>0</v>
      </c>
      <c r="J24" s="2820">
        <f>'6. P y G (Ej 1º,2º)'!J16</f>
        <v>0</v>
      </c>
      <c r="K24" s="2820">
        <f>'6. P y G (Ej 1º,2º)'!K16</f>
        <v>0</v>
      </c>
      <c r="L24" s="2820">
        <f>'6. P y G (Ej 1º,2º)'!L16</f>
        <v>0</v>
      </c>
      <c r="M24" s="2820">
        <f>'6. P y G (Ej 1º,2º)'!M16</f>
        <v>0</v>
      </c>
      <c r="N24" s="1133">
        <f>'6. P y G (Ej 1º,2º)'!N16</f>
        <v>0</v>
      </c>
      <c r="O24" s="2312">
        <f t="shared" si="4"/>
        <v>0</v>
      </c>
      <c r="P24" s="1103"/>
      <c r="T24" s="849">
        <f>'6. P y G (Ej 1º,2º)'!T16</f>
        <v>0</v>
      </c>
      <c r="U24" s="2820">
        <f>'6. P y G (Ej 1º,2º)'!U16</f>
        <v>0</v>
      </c>
      <c r="V24" s="2820">
        <f>'6. P y G (Ej 1º,2º)'!V16</f>
        <v>0</v>
      </c>
      <c r="W24" s="2820">
        <f>'6. P y G (Ej 1º,2º)'!W16</f>
        <v>0</v>
      </c>
      <c r="X24" s="2820">
        <f>'6. P y G (Ej 1º,2º)'!X16</f>
        <v>0</v>
      </c>
      <c r="Y24" s="2820">
        <f>'6. P y G (Ej 1º,2º)'!Y16</f>
        <v>0</v>
      </c>
      <c r="Z24" s="2820">
        <f>'6. P y G (Ej 1º,2º)'!Z16</f>
        <v>0</v>
      </c>
      <c r="AA24" s="2820">
        <f>'6. P y G (Ej 1º,2º)'!AA16</f>
        <v>0</v>
      </c>
      <c r="AB24" s="2820">
        <f>'6. P y G (Ej 1º,2º)'!AB16</f>
        <v>0</v>
      </c>
      <c r="AC24" s="2820">
        <f>'6. P y G (Ej 1º,2º)'!AC16</f>
        <v>0</v>
      </c>
      <c r="AD24" s="2820">
        <f>'6. P y G (Ej 1º,2º)'!AD16</f>
        <v>0</v>
      </c>
      <c r="AE24" s="1133">
        <f>'6. P y G (Ej 1º,2º)'!AE16</f>
        <v>0</v>
      </c>
      <c r="AF24" s="2312">
        <f t="shared" si="9"/>
        <v>0</v>
      </c>
      <c r="AG24" s="845"/>
    </row>
    <row r="25" spans="1:34" ht="24.75" customHeight="1">
      <c r="A25" s="2873" t="str">
        <f>'6. P y G (Ej 1º,2º)'!A17</f>
        <v xml:space="preserve">Tributos y Tasas  </v>
      </c>
      <c r="B25" s="845"/>
      <c r="C25" s="2886">
        <f>'6. P y G (Ej 1º,2º)'!C17</f>
        <v>0</v>
      </c>
      <c r="D25" s="2820">
        <f>'6. P y G (Ej 1º,2º)'!D17</f>
        <v>0</v>
      </c>
      <c r="E25" s="2820">
        <f>'6. P y G (Ej 1º,2º)'!E17</f>
        <v>0</v>
      </c>
      <c r="F25" s="2820">
        <f>'6. P y G (Ej 1º,2º)'!F17</f>
        <v>0</v>
      </c>
      <c r="G25" s="2820">
        <f>'6. P y G (Ej 1º,2º)'!G17</f>
        <v>0</v>
      </c>
      <c r="H25" s="2820">
        <f>'6. P y G (Ej 1º,2º)'!H17</f>
        <v>0</v>
      </c>
      <c r="I25" s="2820">
        <f>'6. P y G (Ej 1º,2º)'!I17</f>
        <v>0</v>
      </c>
      <c r="J25" s="2820">
        <f>'6. P y G (Ej 1º,2º)'!J17</f>
        <v>0</v>
      </c>
      <c r="K25" s="2820">
        <f>'6. P y G (Ej 1º,2º)'!K17</f>
        <v>0</v>
      </c>
      <c r="L25" s="2820">
        <f>'6. P y G (Ej 1º,2º)'!L17</f>
        <v>0</v>
      </c>
      <c r="M25" s="2820">
        <f>'6. P y G (Ej 1º,2º)'!M17</f>
        <v>0</v>
      </c>
      <c r="N25" s="1133">
        <f>'6. P y G (Ej 1º,2º)'!N17</f>
        <v>0</v>
      </c>
      <c r="O25" s="2312">
        <f t="shared" si="4"/>
        <v>0</v>
      </c>
      <c r="P25" s="845"/>
      <c r="T25" s="849">
        <f>'6. P y G (Ej 1º,2º)'!T17</f>
        <v>0</v>
      </c>
      <c r="U25" s="2820">
        <f>'6. P y G (Ej 1º,2º)'!U17</f>
        <v>0</v>
      </c>
      <c r="V25" s="2820">
        <f>'6. P y G (Ej 1º,2º)'!V17</f>
        <v>0</v>
      </c>
      <c r="W25" s="2820">
        <f>'6. P y G (Ej 1º,2º)'!W17</f>
        <v>0</v>
      </c>
      <c r="X25" s="2820">
        <f>'6. P y G (Ej 1º,2º)'!X17</f>
        <v>0</v>
      </c>
      <c r="Y25" s="2820">
        <f>'6. P y G (Ej 1º,2º)'!Y17</f>
        <v>0</v>
      </c>
      <c r="Z25" s="2820">
        <f>'6. P y G (Ej 1º,2º)'!Z17</f>
        <v>0</v>
      </c>
      <c r="AA25" s="2820">
        <f>'6. P y G (Ej 1º,2º)'!AA17</f>
        <v>0</v>
      </c>
      <c r="AB25" s="2820">
        <f>'6. P y G (Ej 1º,2º)'!AB17</f>
        <v>0</v>
      </c>
      <c r="AC25" s="2820">
        <f>'6. P y G (Ej 1º,2º)'!AC17</f>
        <v>0</v>
      </c>
      <c r="AD25" s="2820">
        <f>'6. P y G (Ej 1º,2º)'!AD17</f>
        <v>0</v>
      </c>
      <c r="AE25" s="1133">
        <f>'6. P y G (Ej 1º,2º)'!AE17</f>
        <v>0</v>
      </c>
      <c r="AF25" s="2312">
        <f t="shared" si="9"/>
        <v>0</v>
      </c>
      <c r="AG25" s="845"/>
    </row>
    <row r="26" spans="1:34" ht="24.75" customHeight="1">
      <c r="A26" s="2873" t="str">
        <f>'6. P y G (Ej 1º,2º)'!A18</f>
        <v xml:space="preserve">Suministros (Luz, Agua, Teléfono, Gas) </v>
      </c>
      <c r="B26" s="845"/>
      <c r="C26" s="2886">
        <f>'6. P y G (Ej 1º,2º)'!C18</f>
        <v>0</v>
      </c>
      <c r="D26" s="2820">
        <f>'6. P y G (Ej 1º,2º)'!D18+'6. P y G (Ej 1º,2º)'!C18*0</f>
        <v>0</v>
      </c>
      <c r="E26" s="2820">
        <f>'6. P y G (Ej 1º,2º)'!E18</f>
        <v>0</v>
      </c>
      <c r="F26" s="2820">
        <f>'6. P y G (Ej 1º,2º)'!F18+'6. P y G (Ej 1º,2º)'!E18*0</f>
        <v>0</v>
      </c>
      <c r="G26" s="2820">
        <f>'6. P y G (Ej 1º,2º)'!G18</f>
        <v>0</v>
      </c>
      <c r="H26" s="2820">
        <f>'6. P y G (Ej 1º,2º)'!H18+'6. P y G (Ej 1º,2º)'!G18*0</f>
        <v>0</v>
      </c>
      <c r="I26" s="2820">
        <f>'6. P y G (Ej 1º,2º)'!I18</f>
        <v>0</v>
      </c>
      <c r="J26" s="2820">
        <f>'6. P y G (Ej 1º,2º)'!J18+'6. P y G (Ej 1º,2º)'!I18*0</f>
        <v>0</v>
      </c>
      <c r="K26" s="2820">
        <f>'6. P y G (Ej 1º,2º)'!K18</f>
        <v>0</v>
      </c>
      <c r="L26" s="2820">
        <f>'6. P y G (Ej 1º,2º)'!L18+'6. P y G (Ej 1º,2º)'!K18*0</f>
        <v>0</v>
      </c>
      <c r="M26" s="2820">
        <f>'6. P y G (Ej 1º,2º)'!M18</f>
        <v>0</v>
      </c>
      <c r="N26" s="1133">
        <f>'6. P y G (Ej 1º,2º)'!N18+'6. P y G (Ej 1º,2º)'!M18*0</f>
        <v>0</v>
      </c>
      <c r="O26" s="2312">
        <f t="shared" si="4"/>
        <v>0</v>
      </c>
      <c r="P26" s="845"/>
      <c r="T26" s="849">
        <f>'6. P y G (Ej 1º,2º)'!T18</f>
        <v>0</v>
      </c>
      <c r="U26" s="2820">
        <f>'6. P y G (Ej 1º,2º)'!U18</f>
        <v>0</v>
      </c>
      <c r="V26" s="2820">
        <f>'6. P y G (Ej 1º,2º)'!V18</f>
        <v>0</v>
      </c>
      <c r="W26" s="2820">
        <f>'6. P y G (Ej 1º,2º)'!W18</f>
        <v>0</v>
      </c>
      <c r="X26" s="2820">
        <f>'6. P y G (Ej 1º,2º)'!X18</f>
        <v>0</v>
      </c>
      <c r="Y26" s="2820">
        <f>'6. P y G (Ej 1º,2º)'!Y18</f>
        <v>0</v>
      </c>
      <c r="Z26" s="2820">
        <f>'6. P y G (Ej 1º,2º)'!Z18</f>
        <v>0</v>
      </c>
      <c r="AA26" s="2820">
        <f>'6. P y G (Ej 1º,2º)'!AA18</f>
        <v>0</v>
      </c>
      <c r="AB26" s="2820">
        <f>'6. P y G (Ej 1º,2º)'!AB18</f>
        <v>0</v>
      </c>
      <c r="AC26" s="2820">
        <f>'6. P y G (Ej 1º,2º)'!AC18</f>
        <v>0</v>
      </c>
      <c r="AD26" s="2820">
        <f>'6. P y G (Ej 1º,2º)'!AD18</f>
        <v>0</v>
      </c>
      <c r="AE26" s="1133">
        <f>'6. P y G (Ej 1º,2º)'!AE18</f>
        <v>0</v>
      </c>
      <c r="AF26" s="2312">
        <f t="shared" si="9"/>
        <v>0</v>
      </c>
      <c r="AG26" s="845"/>
    </row>
    <row r="27" spans="1:34" ht="24.75" customHeight="1">
      <c r="A27" s="2873" t="str">
        <f>'6. P y G (Ej 1º,2º)'!A19</f>
        <v xml:space="preserve">Gestoría, Asesoría y Auditoras (Servicios Profesionales Indep.) </v>
      </c>
      <c r="B27" s="845"/>
      <c r="C27" s="2886">
        <f>'6. P y G (Ej 1º,2º)'!C19</f>
        <v>0</v>
      </c>
      <c r="D27" s="2820">
        <f>'6. P y G (Ej 1º,2º)'!D19</f>
        <v>0</v>
      </c>
      <c r="E27" s="2820">
        <f>'6. P y G (Ej 1º,2º)'!E19</f>
        <v>0</v>
      </c>
      <c r="F27" s="2820">
        <f>'6. P y G (Ej 1º,2º)'!F19</f>
        <v>0</v>
      </c>
      <c r="G27" s="2820">
        <f>'6. P y G (Ej 1º,2º)'!G19</f>
        <v>0</v>
      </c>
      <c r="H27" s="2820">
        <f>'6. P y G (Ej 1º,2º)'!H19</f>
        <v>0</v>
      </c>
      <c r="I27" s="2820">
        <f>'6. P y G (Ej 1º,2º)'!I19</f>
        <v>0</v>
      </c>
      <c r="J27" s="2820">
        <f>'6. P y G (Ej 1º,2º)'!J19</f>
        <v>0</v>
      </c>
      <c r="K27" s="2820">
        <f>'6. P y G (Ej 1º,2º)'!K19</f>
        <v>0</v>
      </c>
      <c r="L27" s="2820">
        <f>'6. P y G (Ej 1º,2º)'!L19</f>
        <v>0</v>
      </c>
      <c r="M27" s="2820">
        <f>'6. P y G (Ej 1º,2º)'!M19</f>
        <v>0</v>
      </c>
      <c r="N27" s="1133">
        <f>'6. P y G (Ej 1º,2º)'!N19</f>
        <v>0</v>
      </c>
      <c r="O27" s="2312">
        <f t="shared" si="4"/>
        <v>0</v>
      </c>
      <c r="P27" s="845"/>
      <c r="T27" s="849">
        <f>'6. P y G (Ej 1º,2º)'!T19</f>
        <v>0</v>
      </c>
      <c r="U27" s="2820">
        <f>'6. P y G (Ej 1º,2º)'!U19</f>
        <v>0</v>
      </c>
      <c r="V27" s="2820">
        <f>'6. P y G (Ej 1º,2º)'!V19</f>
        <v>0</v>
      </c>
      <c r="W27" s="2820">
        <f>'6. P y G (Ej 1º,2º)'!W19</f>
        <v>0</v>
      </c>
      <c r="X27" s="2820">
        <f>'6. P y G (Ej 1º,2º)'!X19</f>
        <v>0</v>
      </c>
      <c r="Y27" s="2820">
        <f>'6. P y G (Ej 1º,2º)'!Y19</f>
        <v>0</v>
      </c>
      <c r="Z27" s="2820">
        <f>'6. P y G (Ej 1º,2º)'!Z19</f>
        <v>0</v>
      </c>
      <c r="AA27" s="2820">
        <f>'6. P y G (Ej 1º,2º)'!AA19</f>
        <v>0</v>
      </c>
      <c r="AB27" s="2820">
        <f>'6. P y G (Ej 1º,2º)'!AB19</f>
        <v>0</v>
      </c>
      <c r="AC27" s="2820">
        <f>'6. P y G (Ej 1º,2º)'!AC19</f>
        <v>0</v>
      </c>
      <c r="AD27" s="2820">
        <f>'6. P y G (Ej 1º,2º)'!AD19</f>
        <v>0</v>
      </c>
      <c r="AE27" s="1133">
        <f>'6. P y G (Ej 1º,2º)'!AE19</f>
        <v>0</v>
      </c>
      <c r="AF27" s="2312">
        <f t="shared" si="9"/>
        <v>0</v>
      </c>
      <c r="AG27" s="845"/>
    </row>
    <row r="28" spans="1:34" ht="24.75" customHeight="1">
      <c r="A28" s="2873" t="str">
        <f>'6. P y G (Ej 1º,2º)'!A20</f>
        <v>Material de Oficina, Limpieza y Otros</v>
      </c>
      <c r="B28" s="845"/>
      <c r="C28" s="2886">
        <f>'6. P y G (Ej 1º,2º)'!C20</f>
        <v>0</v>
      </c>
      <c r="D28" s="2820">
        <f>'6. P y G (Ej 1º,2º)'!D20</f>
        <v>0</v>
      </c>
      <c r="E28" s="2820">
        <f>'6. P y G (Ej 1º,2º)'!E20</f>
        <v>0</v>
      </c>
      <c r="F28" s="2820">
        <f>'6. P y G (Ej 1º,2º)'!F20</f>
        <v>0</v>
      </c>
      <c r="G28" s="2820">
        <f>'6. P y G (Ej 1º,2º)'!G20</f>
        <v>0</v>
      </c>
      <c r="H28" s="2820">
        <f>'6. P y G (Ej 1º,2º)'!H20</f>
        <v>0</v>
      </c>
      <c r="I28" s="2820">
        <f>'6. P y G (Ej 1º,2º)'!I20</f>
        <v>0</v>
      </c>
      <c r="J28" s="2820">
        <f>'6. P y G (Ej 1º,2º)'!J20</f>
        <v>0</v>
      </c>
      <c r="K28" s="2820">
        <f>'6. P y G (Ej 1º,2º)'!K20</f>
        <v>0</v>
      </c>
      <c r="L28" s="2820">
        <f>'6. P y G (Ej 1º,2º)'!L20</f>
        <v>0</v>
      </c>
      <c r="M28" s="2820">
        <f>'6. P y G (Ej 1º,2º)'!M20</f>
        <v>0</v>
      </c>
      <c r="N28" s="1133">
        <f>'6. P y G (Ej 1º,2º)'!N20</f>
        <v>0</v>
      </c>
      <c r="O28" s="2312">
        <f t="shared" si="4"/>
        <v>0</v>
      </c>
      <c r="P28" s="845"/>
      <c r="T28" s="849">
        <f>'6. P y G (Ej 1º,2º)'!T20</f>
        <v>0</v>
      </c>
      <c r="U28" s="2820">
        <f>'6. P y G (Ej 1º,2º)'!U20</f>
        <v>0</v>
      </c>
      <c r="V28" s="2820">
        <f>'6. P y G (Ej 1º,2º)'!V20</f>
        <v>0</v>
      </c>
      <c r="W28" s="2820">
        <f>'6. P y G (Ej 1º,2º)'!W20</f>
        <v>0</v>
      </c>
      <c r="X28" s="2820">
        <f>'6. P y G (Ej 1º,2º)'!X20</f>
        <v>0</v>
      </c>
      <c r="Y28" s="2820">
        <f>'6. P y G (Ej 1º,2º)'!Y20</f>
        <v>0</v>
      </c>
      <c r="Z28" s="2820">
        <f>'6. P y G (Ej 1º,2º)'!Z20</f>
        <v>0</v>
      </c>
      <c r="AA28" s="2820">
        <f>'6. P y G (Ej 1º,2º)'!AA20</f>
        <v>0</v>
      </c>
      <c r="AB28" s="2820">
        <f>'6. P y G (Ej 1º,2º)'!AB20</f>
        <v>0</v>
      </c>
      <c r="AC28" s="2820">
        <f>'6. P y G (Ej 1º,2º)'!AC20</f>
        <v>0</v>
      </c>
      <c r="AD28" s="2820">
        <f>'6. P y G (Ej 1º,2º)'!AD20</f>
        <v>0</v>
      </c>
      <c r="AE28" s="1133">
        <f>'6. P y G (Ej 1º,2º)'!AE20</f>
        <v>0</v>
      </c>
      <c r="AF28" s="2312">
        <f t="shared" si="9"/>
        <v>0</v>
      </c>
      <c r="AG28" s="845"/>
    </row>
    <row r="29" spans="1:34" ht="24.75" customHeight="1">
      <c r="A29" s="2873" t="str">
        <f>'6. P y G (Ej 1º,2º)'!A21</f>
        <v xml:space="preserve">Marketing (on y off) </v>
      </c>
      <c r="B29" s="845"/>
      <c r="C29" s="2886">
        <f>'6. P y G (Ej 1º,2º)'!C21</f>
        <v>0</v>
      </c>
      <c r="D29" s="2820">
        <f>'6. P y G (Ej 1º,2º)'!D21</f>
        <v>0</v>
      </c>
      <c r="E29" s="2820">
        <f>'6. P y G (Ej 1º,2º)'!E21</f>
        <v>0</v>
      </c>
      <c r="F29" s="2820">
        <f>'6. P y G (Ej 1º,2º)'!F21</f>
        <v>0</v>
      </c>
      <c r="G29" s="2820">
        <f>'6. P y G (Ej 1º,2º)'!G21</f>
        <v>0</v>
      </c>
      <c r="H29" s="2820">
        <f>'6. P y G (Ej 1º,2º)'!H21</f>
        <v>0</v>
      </c>
      <c r="I29" s="2820">
        <f>'6. P y G (Ej 1º,2º)'!I21</f>
        <v>0</v>
      </c>
      <c r="J29" s="2820">
        <f>'6. P y G (Ej 1º,2º)'!J21</f>
        <v>0</v>
      </c>
      <c r="K29" s="2820">
        <f>'6. P y G (Ej 1º,2º)'!K21</f>
        <v>0</v>
      </c>
      <c r="L29" s="2820">
        <f>'6. P y G (Ej 1º,2º)'!L21</f>
        <v>0</v>
      </c>
      <c r="M29" s="2820">
        <f>'6. P y G (Ej 1º,2º)'!M21</f>
        <v>0</v>
      </c>
      <c r="N29" s="1133">
        <f>'6. P y G (Ej 1º,2º)'!N21</f>
        <v>0</v>
      </c>
      <c r="O29" s="2312">
        <f t="shared" si="4"/>
        <v>0</v>
      </c>
      <c r="P29" s="845"/>
      <c r="T29" s="849">
        <f>'6. P y G (Ej 1º,2º)'!T21</f>
        <v>0</v>
      </c>
      <c r="U29" s="2820">
        <f>'6. P y G (Ej 1º,2º)'!U21</f>
        <v>0</v>
      </c>
      <c r="V29" s="2820">
        <f>'6. P y G (Ej 1º,2º)'!V21</f>
        <v>0</v>
      </c>
      <c r="W29" s="2820">
        <f>'6. P y G (Ej 1º,2º)'!W21</f>
        <v>0</v>
      </c>
      <c r="X29" s="2820">
        <f>'6. P y G (Ej 1º,2º)'!X21</f>
        <v>0</v>
      </c>
      <c r="Y29" s="2820">
        <f>'6. P y G (Ej 1º,2º)'!Y21</f>
        <v>0</v>
      </c>
      <c r="Z29" s="2820">
        <f>'6. P y G (Ej 1º,2º)'!Z21</f>
        <v>0</v>
      </c>
      <c r="AA29" s="2820">
        <f>'6. P y G (Ej 1º,2º)'!AA21</f>
        <v>0</v>
      </c>
      <c r="AB29" s="2820">
        <f>'6. P y G (Ej 1º,2º)'!AB21</f>
        <v>0</v>
      </c>
      <c r="AC29" s="2820">
        <f>'6. P y G (Ej 1º,2º)'!AC21</f>
        <v>0</v>
      </c>
      <c r="AD29" s="2820">
        <f>'6. P y G (Ej 1º,2º)'!AD21</f>
        <v>0</v>
      </c>
      <c r="AE29" s="1133">
        <f>'6. P y G (Ej 1º,2º)'!AE21</f>
        <v>0</v>
      </c>
      <c r="AF29" s="2312">
        <f t="shared" si="9"/>
        <v>0</v>
      </c>
      <c r="AG29" s="845"/>
    </row>
    <row r="30" spans="1:34" ht="24.75" customHeight="1">
      <c r="A30" s="2873" t="str">
        <f>'6. P y G (Ej 1º,2º)'!A22</f>
        <v xml:space="preserve">Primas de Seguros  </v>
      </c>
      <c r="B30" s="845"/>
      <c r="C30" s="2886">
        <f>'6. P y G (Ej 1º,2º)'!C22</f>
        <v>0</v>
      </c>
      <c r="D30" s="2820">
        <f>'6. P y G (Ej 1º,2º)'!D22</f>
        <v>0</v>
      </c>
      <c r="E30" s="2820">
        <f>'6. P y G (Ej 1º,2º)'!E22</f>
        <v>0</v>
      </c>
      <c r="F30" s="2820">
        <f>'6. P y G (Ej 1º,2º)'!F22</f>
        <v>0</v>
      </c>
      <c r="G30" s="2820">
        <f>'6. P y G (Ej 1º,2º)'!G22</f>
        <v>0</v>
      </c>
      <c r="H30" s="2820">
        <f>'6. P y G (Ej 1º,2º)'!H22</f>
        <v>0</v>
      </c>
      <c r="I30" s="2820">
        <f>'6. P y G (Ej 1º,2º)'!I22</f>
        <v>0</v>
      </c>
      <c r="J30" s="2820">
        <f>'6. P y G (Ej 1º,2º)'!J22</f>
        <v>0</v>
      </c>
      <c r="K30" s="2820">
        <f>'6. P y G (Ej 1º,2º)'!K22</f>
        <v>0</v>
      </c>
      <c r="L30" s="2820">
        <f>'6. P y G (Ej 1º,2º)'!L22</f>
        <v>0</v>
      </c>
      <c r="M30" s="2820">
        <f>'6. P y G (Ej 1º,2º)'!M22</f>
        <v>0</v>
      </c>
      <c r="N30" s="1133">
        <f>'6. P y G (Ej 1º,2º)'!N22</f>
        <v>0</v>
      </c>
      <c r="O30" s="2312">
        <f t="shared" si="4"/>
        <v>0</v>
      </c>
      <c r="P30" s="845"/>
      <c r="T30" s="849">
        <f>'6. P y G (Ej 1º,2º)'!T22</f>
        <v>0</v>
      </c>
      <c r="U30" s="2820">
        <f>'6. P y G (Ej 1º,2º)'!U22</f>
        <v>0</v>
      </c>
      <c r="V30" s="2820">
        <f>'6. P y G (Ej 1º,2º)'!V22</f>
        <v>0</v>
      </c>
      <c r="W30" s="2820">
        <f>'6. P y G (Ej 1º,2º)'!W22</f>
        <v>0</v>
      </c>
      <c r="X30" s="2820">
        <f>'6. P y G (Ej 1º,2º)'!X22</f>
        <v>0</v>
      </c>
      <c r="Y30" s="2820">
        <f>'6. P y G (Ej 1º,2º)'!Y22</f>
        <v>0</v>
      </c>
      <c r="Z30" s="2820">
        <f>'6. P y G (Ej 1º,2º)'!Z22</f>
        <v>0</v>
      </c>
      <c r="AA30" s="2820">
        <f>'6. P y G (Ej 1º,2º)'!AA22</f>
        <v>0</v>
      </c>
      <c r="AB30" s="2820">
        <f>'6. P y G (Ej 1º,2º)'!AB22</f>
        <v>0</v>
      </c>
      <c r="AC30" s="2820">
        <f>'6. P y G (Ej 1º,2º)'!AC22</f>
        <v>0</v>
      </c>
      <c r="AD30" s="2820">
        <f>'6. P y G (Ej 1º,2º)'!AD22</f>
        <v>0</v>
      </c>
      <c r="AE30" s="1133">
        <f>'6. P y G (Ej 1º,2º)'!AE22</f>
        <v>0</v>
      </c>
      <c r="AF30" s="2312">
        <f t="shared" si="9"/>
        <v>0</v>
      </c>
      <c r="AG30" s="845"/>
    </row>
    <row r="31" spans="1:34" ht="24.75" customHeight="1" thickBot="1">
      <c r="A31" s="2873" t="str">
        <f>'6. P y G (Ej 1º,2º)'!A23</f>
        <v>Trabajos Realizados por Otras Empresas</v>
      </c>
      <c r="B31" s="845"/>
      <c r="C31" s="2886">
        <f>'6. P y G (Ej 1º,2º)'!C23</f>
        <v>0</v>
      </c>
      <c r="D31" s="2820">
        <f>'6. P y G (Ej 1º,2º)'!D23</f>
        <v>0</v>
      </c>
      <c r="E31" s="2820">
        <f>'6. P y G (Ej 1º,2º)'!E23</f>
        <v>0</v>
      </c>
      <c r="F31" s="2820">
        <f>'6. P y G (Ej 1º,2º)'!F23</f>
        <v>0</v>
      </c>
      <c r="G31" s="2820">
        <f>'6. P y G (Ej 1º,2º)'!G23</f>
        <v>0</v>
      </c>
      <c r="H31" s="2820">
        <f>'6. P y G (Ej 1º,2º)'!H23</f>
        <v>0</v>
      </c>
      <c r="I31" s="2820">
        <f>'6. P y G (Ej 1º,2º)'!I23</f>
        <v>0</v>
      </c>
      <c r="J31" s="2820">
        <f>'6. P y G (Ej 1º,2º)'!J23</f>
        <v>0</v>
      </c>
      <c r="K31" s="2820">
        <f>'6. P y G (Ej 1º,2º)'!K23</f>
        <v>0</v>
      </c>
      <c r="L31" s="2820">
        <f>'6. P y G (Ej 1º,2º)'!L23</f>
        <v>0</v>
      </c>
      <c r="M31" s="2820">
        <f>'6. P y G (Ej 1º,2º)'!M23</f>
        <v>0</v>
      </c>
      <c r="N31" s="1133">
        <f>'6. P y G (Ej 1º,2º)'!N23</f>
        <v>0</v>
      </c>
      <c r="O31" s="2312">
        <f t="shared" si="4"/>
        <v>0</v>
      </c>
      <c r="P31" s="845"/>
      <c r="T31" s="849">
        <f>'6. P y G (Ej 1º,2º)'!T23</f>
        <v>0</v>
      </c>
      <c r="U31" s="2820">
        <f>'6. P y G (Ej 1º,2º)'!U23</f>
        <v>0</v>
      </c>
      <c r="V31" s="2820">
        <f>'6. P y G (Ej 1º,2º)'!V23</f>
        <v>0</v>
      </c>
      <c r="W31" s="2820">
        <f>'6. P y G (Ej 1º,2º)'!W23</f>
        <v>0</v>
      </c>
      <c r="X31" s="2820">
        <f>'6. P y G (Ej 1º,2º)'!X23</f>
        <v>0</v>
      </c>
      <c r="Y31" s="2820">
        <f>'6. P y G (Ej 1º,2º)'!Y23</f>
        <v>0</v>
      </c>
      <c r="Z31" s="2820">
        <f>'6. P y G (Ej 1º,2º)'!Z23</f>
        <v>0</v>
      </c>
      <c r="AA31" s="2820">
        <f>'6. P y G (Ej 1º,2º)'!AA23</f>
        <v>0</v>
      </c>
      <c r="AB31" s="2820">
        <f>'6. P y G (Ej 1º,2º)'!AB23</f>
        <v>0</v>
      </c>
      <c r="AC31" s="2820">
        <f>'6. P y G (Ej 1º,2º)'!AC23</f>
        <v>0</v>
      </c>
      <c r="AD31" s="2820">
        <f>'6. P y G (Ej 1º,2º)'!AD23</f>
        <v>0</v>
      </c>
      <c r="AE31" s="1133">
        <f>'6. P y G (Ej 1º,2º)'!AE23</f>
        <v>0</v>
      </c>
      <c r="AF31" s="2312">
        <f t="shared" si="9"/>
        <v>0</v>
      </c>
      <c r="AG31" s="845"/>
    </row>
    <row r="32" spans="1:34" ht="24.75" customHeight="1" thickTop="1">
      <c r="A32" s="2873" t="str">
        <f>'6. P y G (Ej 1º,2º)'!A24</f>
        <v xml:space="preserve">Reparaciones, Mantenimiento y Conservación  </v>
      </c>
      <c r="B32" s="845"/>
      <c r="C32" s="2886">
        <f>'6. P y G (Ej 1º,2º)'!C24</f>
        <v>0</v>
      </c>
      <c r="D32" s="2820">
        <f>'6. P y G (Ej 1º,2º)'!D24</f>
        <v>0</v>
      </c>
      <c r="E32" s="2820">
        <f>'6. P y G (Ej 1º,2º)'!E24</f>
        <v>0</v>
      </c>
      <c r="F32" s="2820">
        <f>'6. P y G (Ej 1º,2º)'!F24</f>
        <v>0</v>
      </c>
      <c r="G32" s="2820">
        <f>'6. P y G (Ej 1º,2º)'!G24</f>
        <v>0</v>
      </c>
      <c r="H32" s="2820">
        <f>'6. P y G (Ej 1º,2º)'!H24</f>
        <v>0</v>
      </c>
      <c r="I32" s="2820">
        <f>'6. P y G (Ej 1º,2º)'!I24</f>
        <v>0</v>
      </c>
      <c r="J32" s="2820">
        <f>'6. P y G (Ej 1º,2º)'!J24</f>
        <v>0</v>
      </c>
      <c r="K32" s="2820">
        <f>'6. P y G (Ej 1º,2º)'!K24</f>
        <v>0</v>
      </c>
      <c r="L32" s="2820">
        <f>'6. P y G (Ej 1º,2º)'!L24</f>
        <v>0</v>
      </c>
      <c r="M32" s="2820">
        <f>'6. P y G (Ej 1º,2º)'!M24</f>
        <v>0</v>
      </c>
      <c r="N32" s="1133">
        <f>'6. P y G (Ej 1º,2º)'!N24</f>
        <v>0</v>
      </c>
      <c r="O32" s="2312">
        <f t="shared" si="4"/>
        <v>0</v>
      </c>
      <c r="P32" s="2322" t="s">
        <v>274</v>
      </c>
      <c r="T32" s="849">
        <f>'6. P y G (Ej 1º,2º)'!T24</f>
        <v>0</v>
      </c>
      <c r="U32" s="2820">
        <f>'6. P y G (Ej 1º,2º)'!U24</f>
        <v>0</v>
      </c>
      <c r="V32" s="2820">
        <f>'6. P y G (Ej 1º,2º)'!V24</f>
        <v>0</v>
      </c>
      <c r="W32" s="2820">
        <f>'6. P y G (Ej 1º,2º)'!W24</f>
        <v>0</v>
      </c>
      <c r="X32" s="2820">
        <f>'6. P y G (Ej 1º,2º)'!X24</f>
        <v>0</v>
      </c>
      <c r="Y32" s="2820">
        <f>'6. P y G (Ej 1º,2º)'!Y24</f>
        <v>0</v>
      </c>
      <c r="Z32" s="2820">
        <f>'6. P y G (Ej 1º,2º)'!Z24</f>
        <v>0</v>
      </c>
      <c r="AA32" s="2820">
        <f>'6. P y G (Ej 1º,2º)'!AA24</f>
        <v>0</v>
      </c>
      <c r="AB32" s="2820">
        <f>'6. P y G (Ej 1º,2º)'!AB24</f>
        <v>0</v>
      </c>
      <c r="AC32" s="2820">
        <f>'6. P y G (Ej 1º,2º)'!AC24</f>
        <v>0</v>
      </c>
      <c r="AD32" s="2820">
        <f>'6. P y G (Ej 1º,2º)'!AD24</f>
        <v>0</v>
      </c>
      <c r="AE32" s="1133">
        <f>'6. P y G (Ej 1º,2º)'!AE24</f>
        <v>0</v>
      </c>
      <c r="AF32" s="2312">
        <f t="shared" si="9"/>
        <v>0</v>
      </c>
      <c r="AG32" s="2322" t="s">
        <v>274</v>
      </c>
    </row>
    <row r="33" spans="1:33" ht="24.75" customHeight="1">
      <c r="A33" s="2873" t="str">
        <f>'6. P y G (Ej 1º,2º)'!A25</f>
        <v xml:space="preserve">Arrendamientos y Cánones  </v>
      </c>
      <c r="B33" s="845"/>
      <c r="C33" s="2887">
        <f>'6. P y G (Ej 1º,2º)'!C25</f>
        <v>0</v>
      </c>
      <c r="D33" s="2821">
        <f>'6. P y G (Ej 1º,2º)'!D25</f>
        <v>0</v>
      </c>
      <c r="E33" s="2821">
        <f>'6. P y G (Ej 1º,2º)'!E25</f>
        <v>0</v>
      </c>
      <c r="F33" s="2821">
        <f>'6. P y G (Ej 1º,2º)'!F25</f>
        <v>0</v>
      </c>
      <c r="G33" s="2821">
        <f>'6. P y G (Ej 1º,2º)'!G25</f>
        <v>0</v>
      </c>
      <c r="H33" s="2821">
        <f>'6. P y G (Ej 1º,2º)'!H25</f>
        <v>0</v>
      </c>
      <c r="I33" s="2821">
        <f>'6. P y G (Ej 1º,2º)'!I25</f>
        <v>0</v>
      </c>
      <c r="J33" s="2821">
        <f>'6. P y G (Ej 1º,2º)'!J25</f>
        <v>0</v>
      </c>
      <c r="K33" s="2821">
        <f>'6. P y G (Ej 1º,2º)'!K25</f>
        <v>0</v>
      </c>
      <c r="L33" s="2821">
        <f>'6. P y G (Ej 1º,2º)'!L25</f>
        <v>0</v>
      </c>
      <c r="M33" s="2821">
        <f>'6. P y G (Ej 1º,2º)'!M25</f>
        <v>0</v>
      </c>
      <c r="N33" s="2301">
        <f>'6. P y G (Ej 1º,2º)'!N25</f>
        <v>0</v>
      </c>
      <c r="O33" s="2312">
        <f t="shared" si="4"/>
        <v>0</v>
      </c>
      <c r="P33" s="850">
        <f>'6. P y G (Ej 1º,2º)'!O25-'8. Tesorería (Ej 1º,2º)'!O33</f>
        <v>0</v>
      </c>
      <c r="T33" s="2833">
        <f>'6. P y G (Ej 1º,2º)'!T25</f>
        <v>0</v>
      </c>
      <c r="U33" s="2821">
        <f>'6. P y G (Ej 1º,2º)'!U25</f>
        <v>0</v>
      </c>
      <c r="V33" s="2821">
        <f>'6. P y G (Ej 1º,2º)'!V25</f>
        <v>0</v>
      </c>
      <c r="W33" s="2821">
        <f>'6. P y G (Ej 1º,2º)'!W25</f>
        <v>0</v>
      </c>
      <c r="X33" s="2821">
        <f>'6. P y G (Ej 1º,2º)'!X25</f>
        <v>0</v>
      </c>
      <c r="Y33" s="2821">
        <f>'6. P y G (Ej 1º,2º)'!Y25</f>
        <v>0</v>
      </c>
      <c r="Z33" s="2821">
        <f>'6. P y G (Ej 1º,2º)'!Z25</f>
        <v>0</v>
      </c>
      <c r="AA33" s="2821">
        <f>'6. P y G (Ej 1º,2º)'!AA25</f>
        <v>0</v>
      </c>
      <c r="AB33" s="2821">
        <f>'6. P y G (Ej 1º,2º)'!AB25</f>
        <v>0</v>
      </c>
      <c r="AC33" s="2821">
        <f>'6. P y G (Ej 1º,2º)'!AC25</f>
        <v>0</v>
      </c>
      <c r="AD33" s="2821">
        <f>'6. P y G (Ej 1º,2º)'!AD25</f>
        <v>0</v>
      </c>
      <c r="AE33" s="2301">
        <f>'6. P y G (Ej 1º,2º)'!AE25</f>
        <v>0</v>
      </c>
      <c r="AF33" s="2312">
        <f t="shared" si="9"/>
        <v>0</v>
      </c>
      <c r="AG33" s="850">
        <f>P33+'6. P y G (Ej 1º,2º)'!AF25-'8. Tesorería (Ej 1º,2º)'!AF33</f>
        <v>0</v>
      </c>
    </row>
    <row r="34" spans="1:33" ht="24.75" customHeight="1">
      <c r="A34" s="2873" t="str">
        <f>'6. P y G (Ej 1º,2º)'!A26</f>
        <v xml:space="preserve">Transportes y Mensajería </v>
      </c>
      <c r="B34" s="845"/>
      <c r="C34" s="2886">
        <f>'6. P y G (Ej 1º,2º)'!C26</f>
        <v>0</v>
      </c>
      <c r="D34" s="2820">
        <f>'6. P y G (Ej 1º,2º)'!D26</f>
        <v>0</v>
      </c>
      <c r="E34" s="2820">
        <f>'6. P y G (Ej 1º,2º)'!E26</f>
        <v>0</v>
      </c>
      <c r="F34" s="2820">
        <f>'6. P y G (Ej 1º,2º)'!F26</f>
        <v>0</v>
      </c>
      <c r="G34" s="2820">
        <f>'6. P y G (Ej 1º,2º)'!G26</f>
        <v>0</v>
      </c>
      <c r="H34" s="2820">
        <f>'6. P y G (Ej 1º,2º)'!H26</f>
        <v>0</v>
      </c>
      <c r="I34" s="2820">
        <f>'6. P y G (Ej 1º,2º)'!I26</f>
        <v>0</v>
      </c>
      <c r="J34" s="2820">
        <f>'6. P y G (Ej 1º,2º)'!J26</f>
        <v>0</v>
      </c>
      <c r="K34" s="2820">
        <f>'6. P y G (Ej 1º,2º)'!K26</f>
        <v>0</v>
      </c>
      <c r="L34" s="2820">
        <f>'6. P y G (Ej 1º,2º)'!L26</f>
        <v>0</v>
      </c>
      <c r="M34" s="2820">
        <f>'6. P y G (Ej 1º,2º)'!M26</f>
        <v>0</v>
      </c>
      <c r="N34" s="1133">
        <f>'6. P y G (Ej 1º,2º)'!N26</f>
        <v>0</v>
      </c>
      <c r="O34" s="2312">
        <f t="shared" si="4"/>
        <v>0</v>
      </c>
      <c r="P34" s="845"/>
      <c r="T34" s="849">
        <f>'6. P y G (Ej 1º,2º)'!T26</f>
        <v>0</v>
      </c>
      <c r="U34" s="2820">
        <f>'6. P y G (Ej 1º,2º)'!U26</f>
        <v>0</v>
      </c>
      <c r="V34" s="2820">
        <f>'6. P y G (Ej 1º,2º)'!V26</f>
        <v>0</v>
      </c>
      <c r="W34" s="2820">
        <f>'6. P y G (Ej 1º,2º)'!W26</f>
        <v>0</v>
      </c>
      <c r="X34" s="2820">
        <f>'6. P y G (Ej 1º,2º)'!X26</f>
        <v>0</v>
      </c>
      <c r="Y34" s="2820">
        <f>'6. P y G (Ej 1º,2º)'!Y26</f>
        <v>0</v>
      </c>
      <c r="Z34" s="2820">
        <f>'6. P y G (Ej 1º,2º)'!Z26</f>
        <v>0</v>
      </c>
      <c r="AA34" s="2820">
        <f>'6. P y G (Ej 1º,2º)'!AA26</f>
        <v>0</v>
      </c>
      <c r="AB34" s="2820">
        <f>'6. P y G (Ej 1º,2º)'!AB26</f>
        <v>0</v>
      </c>
      <c r="AC34" s="2820">
        <f>'6. P y G (Ej 1º,2º)'!AC26</f>
        <v>0</v>
      </c>
      <c r="AD34" s="2820">
        <f>'6. P y G (Ej 1º,2º)'!AD26</f>
        <v>0</v>
      </c>
      <c r="AE34" s="1133">
        <f>'6. P y G (Ej 1º,2º)'!AE26</f>
        <v>0</v>
      </c>
      <c r="AF34" s="2312">
        <f t="shared" si="9"/>
        <v>0</v>
      </c>
      <c r="AG34" s="845"/>
    </row>
    <row r="35" spans="1:33" ht="24.75" customHeight="1">
      <c r="A35" s="2873" t="str">
        <f>'6. P y G (Ej 1º,2º)'!A27</f>
        <v xml:space="preserve">Otros Servicios (1)  </v>
      </c>
      <c r="B35" s="845"/>
      <c r="C35" s="2886">
        <f>'6. P y G (Ej 1º,2º)'!C27</f>
        <v>0</v>
      </c>
      <c r="D35" s="2820">
        <f>'6. P y G (Ej 1º,2º)'!D27</f>
        <v>0</v>
      </c>
      <c r="E35" s="2820">
        <f>'6. P y G (Ej 1º,2º)'!E27</f>
        <v>0</v>
      </c>
      <c r="F35" s="2820">
        <f>'6. P y G (Ej 1º,2º)'!F27</f>
        <v>0</v>
      </c>
      <c r="G35" s="2820">
        <f>'6. P y G (Ej 1º,2º)'!G27</f>
        <v>0</v>
      </c>
      <c r="H35" s="2820">
        <f>'6. P y G (Ej 1º,2º)'!H27</f>
        <v>0</v>
      </c>
      <c r="I35" s="2820">
        <f>'6. P y G (Ej 1º,2º)'!I27</f>
        <v>0</v>
      </c>
      <c r="J35" s="2820">
        <f>'6. P y G (Ej 1º,2º)'!J27</f>
        <v>0</v>
      </c>
      <c r="K35" s="2820">
        <f>'6. P y G (Ej 1º,2º)'!K27</f>
        <v>0</v>
      </c>
      <c r="L35" s="2820">
        <f>'6. P y G (Ej 1º,2º)'!L27</f>
        <v>0</v>
      </c>
      <c r="M35" s="2820">
        <f>'6. P y G (Ej 1º,2º)'!M27</f>
        <v>0</v>
      </c>
      <c r="N35" s="1133">
        <f>'6. P y G (Ej 1º,2º)'!N27</f>
        <v>0</v>
      </c>
      <c r="O35" s="2312">
        <f t="shared" si="4"/>
        <v>0</v>
      </c>
      <c r="P35" s="845"/>
      <c r="T35" s="849">
        <f>'6. P y G (Ej 1º,2º)'!T27</f>
        <v>0</v>
      </c>
      <c r="U35" s="2820">
        <f>'6. P y G (Ej 1º,2º)'!U27</f>
        <v>0</v>
      </c>
      <c r="V35" s="2820">
        <f>'6. P y G (Ej 1º,2º)'!V27</f>
        <v>0</v>
      </c>
      <c r="W35" s="2820">
        <f>'6. P y G (Ej 1º,2º)'!W27</f>
        <v>0</v>
      </c>
      <c r="X35" s="2820">
        <f>'6. P y G (Ej 1º,2º)'!X27</f>
        <v>0</v>
      </c>
      <c r="Y35" s="2820">
        <f>'6. P y G (Ej 1º,2º)'!Y27</f>
        <v>0</v>
      </c>
      <c r="Z35" s="2820">
        <f>'6. P y G (Ej 1º,2º)'!Z27</f>
        <v>0</v>
      </c>
      <c r="AA35" s="2820">
        <f>'6. P y G (Ej 1º,2º)'!AA27</f>
        <v>0</v>
      </c>
      <c r="AB35" s="2820">
        <f>'6. P y G (Ej 1º,2º)'!AB27</f>
        <v>0</v>
      </c>
      <c r="AC35" s="2820">
        <f>'6. P y G (Ej 1º,2º)'!AC27</f>
        <v>0</v>
      </c>
      <c r="AD35" s="2820">
        <f>'6. P y G (Ej 1º,2º)'!AD27</f>
        <v>0</v>
      </c>
      <c r="AE35" s="1133">
        <f>'6. P y G (Ej 1º,2º)'!AE27</f>
        <v>0</v>
      </c>
      <c r="AF35" s="2312">
        <f t="shared" si="9"/>
        <v>0</v>
      </c>
      <c r="AG35" s="845"/>
    </row>
    <row r="36" spans="1:33" ht="24.75" customHeight="1">
      <c r="A36" s="2873" t="str">
        <f>'6. P y G (Ej 1º,2º)'!A28</f>
        <v xml:space="preserve">Otros Servicios (2)  </v>
      </c>
      <c r="B36" s="845"/>
      <c r="C36" s="2886">
        <f>'6. P y G (Ej 1º,2º)'!C28</f>
        <v>0</v>
      </c>
      <c r="D36" s="2820">
        <f>'6. P y G (Ej 1º,2º)'!D28</f>
        <v>0</v>
      </c>
      <c r="E36" s="2820">
        <f>'6. P y G (Ej 1º,2º)'!E28</f>
        <v>0</v>
      </c>
      <c r="F36" s="2820">
        <f>'6. P y G (Ej 1º,2º)'!F28</f>
        <v>0</v>
      </c>
      <c r="G36" s="2820">
        <f>'6. P y G (Ej 1º,2º)'!G28</f>
        <v>0</v>
      </c>
      <c r="H36" s="2820">
        <f>'6. P y G (Ej 1º,2º)'!H28</f>
        <v>0</v>
      </c>
      <c r="I36" s="2820">
        <f>'6. P y G (Ej 1º,2º)'!I28</f>
        <v>0</v>
      </c>
      <c r="J36" s="2820">
        <f>'6. P y G (Ej 1º,2º)'!J28</f>
        <v>0</v>
      </c>
      <c r="K36" s="2820">
        <f>'6. P y G (Ej 1º,2º)'!K28</f>
        <v>0</v>
      </c>
      <c r="L36" s="2820">
        <f>'6. P y G (Ej 1º,2º)'!L28</f>
        <v>0</v>
      </c>
      <c r="M36" s="2820">
        <f>'6. P y G (Ej 1º,2º)'!M28</f>
        <v>0</v>
      </c>
      <c r="N36" s="1133">
        <f>'6. P y G (Ej 1º,2º)'!N28</f>
        <v>0</v>
      </c>
      <c r="O36" s="2312">
        <f t="shared" si="4"/>
        <v>0</v>
      </c>
      <c r="P36" s="845"/>
      <c r="T36" s="849">
        <f>'6. P y G (Ej 1º,2º)'!T28</f>
        <v>0</v>
      </c>
      <c r="U36" s="2820">
        <f>'6. P y G (Ej 1º,2º)'!U28</f>
        <v>0</v>
      </c>
      <c r="V36" s="2820">
        <f>'6. P y G (Ej 1º,2º)'!V28</f>
        <v>0</v>
      </c>
      <c r="W36" s="2820">
        <f>'6. P y G (Ej 1º,2º)'!W28</f>
        <v>0</v>
      </c>
      <c r="X36" s="2820">
        <f>'6. P y G (Ej 1º,2º)'!X28</f>
        <v>0</v>
      </c>
      <c r="Y36" s="2820">
        <f>'6. P y G (Ej 1º,2º)'!Y28</f>
        <v>0</v>
      </c>
      <c r="Z36" s="2820">
        <f>'6. P y G (Ej 1º,2º)'!Z28</f>
        <v>0</v>
      </c>
      <c r="AA36" s="2820">
        <f>'6. P y G (Ej 1º,2º)'!AA28</f>
        <v>0</v>
      </c>
      <c r="AB36" s="2820">
        <f>'6. P y G (Ej 1º,2º)'!AB28</f>
        <v>0</v>
      </c>
      <c r="AC36" s="2820">
        <f>'6. P y G (Ej 1º,2º)'!AC28</f>
        <v>0</v>
      </c>
      <c r="AD36" s="2820">
        <f>'6. P y G (Ej 1º,2º)'!AD28</f>
        <v>0</v>
      </c>
      <c r="AE36" s="1133">
        <f>'6. P y G (Ej 1º,2º)'!AE28</f>
        <v>0</v>
      </c>
      <c r="AF36" s="2312">
        <f t="shared" si="9"/>
        <v>0</v>
      </c>
      <c r="AG36" s="845"/>
    </row>
    <row r="37" spans="1:33" ht="24.75" customHeight="1">
      <c r="A37" s="2873" t="s">
        <v>452</v>
      </c>
      <c r="B37" s="845"/>
      <c r="C37" s="2886">
        <f>'6. P y G (Ej 1º,2º)'!C29</f>
        <v>0</v>
      </c>
      <c r="D37" s="2820">
        <f>'6. P y G (Ej 1º,2º)'!D29</f>
        <v>0</v>
      </c>
      <c r="E37" s="2820">
        <f>'6. P y G (Ej 1º,2º)'!E29</f>
        <v>0</v>
      </c>
      <c r="F37" s="2820">
        <f>'6. P y G (Ej 1º,2º)'!F29</f>
        <v>0</v>
      </c>
      <c r="G37" s="2820">
        <f>'6. P y G (Ej 1º,2º)'!G29</f>
        <v>0</v>
      </c>
      <c r="H37" s="2820">
        <f>'6. P y G (Ej 1º,2º)'!H29</f>
        <v>0</v>
      </c>
      <c r="I37" s="2820">
        <f>'6. P y G (Ej 1º,2º)'!I29</f>
        <v>0</v>
      </c>
      <c r="J37" s="2820">
        <f>'6. P y G (Ej 1º,2º)'!J29</f>
        <v>0</v>
      </c>
      <c r="K37" s="2820">
        <f>'6. P y G (Ej 1º,2º)'!K29</f>
        <v>0</v>
      </c>
      <c r="L37" s="2820">
        <f>'6. P y G (Ej 1º,2º)'!L29</f>
        <v>0</v>
      </c>
      <c r="M37" s="2820">
        <f>'6. P y G (Ej 1º,2º)'!M29</f>
        <v>0</v>
      </c>
      <c r="N37" s="1133">
        <f>'6. P y G (Ej 1º,2º)'!N29</f>
        <v>0</v>
      </c>
      <c r="O37" s="2312">
        <f t="shared" si="4"/>
        <v>0</v>
      </c>
      <c r="P37" s="845"/>
      <c r="T37" s="2834">
        <f>'6. P y G (Ej 1º,2º)'!T29</f>
        <v>0</v>
      </c>
      <c r="U37" s="2820">
        <f>'6. P y G (Ej 1º,2º)'!U29</f>
        <v>0</v>
      </c>
      <c r="V37" s="2820">
        <f>'6. P y G (Ej 1º,2º)'!V29</f>
        <v>0</v>
      </c>
      <c r="W37" s="2820">
        <f>'6. P y G (Ej 1º,2º)'!W29</f>
        <v>0</v>
      </c>
      <c r="X37" s="2820">
        <f>'6. P y G (Ej 1º,2º)'!X29</f>
        <v>0</v>
      </c>
      <c r="Y37" s="2820">
        <f>'6. P y G (Ej 1º,2º)'!Y29</f>
        <v>0</v>
      </c>
      <c r="Z37" s="2820">
        <f>'6. P y G (Ej 1º,2º)'!Z29</f>
        <v>0</v>
      </c>
      <c r="AA37" s="2820">
        <f>'6. P y G (Ej 1º,2º)'!AA29</f>
        <v>0</v>
      </c>
      <c r="AB37" s="2820">
        <f>'6. P y G (Ej 1º,2º)'!AB29</f>
        <v>0</v>
      </c>
      <c r="AC37" s="2820">
        <f>'6. P y G (Ej 1º,2º)'!AC29</f>
        <v>0</v>
      </c>
      <c r="AD37" s="2820">
        <f>'6. P y G (Ej 1º,2º)'!AD29</f>
        <v>0</v>
      </c>
      <c r="AE37" s="1133">
        <f>'6. P y G (Ej 1º,2º)'!AE29</f>
        <v>0</v>
      </c>
      <c r="AF37" s="2312">
        <f t="shared" si="9"/>
        <v>0</v>
      </c>
      <c r="AG37" s="845"/>
    </row>
    <row r="38" spans="1:33" ht="24.75" customHeight="1">
      <c r="A38" s="2873" t="s">
        <v>467</v>
      </c>
      <c r="B38" s="845"/>
      <c r="C38" s="2886">
        <f>'6. P y G (Ej 1º,2º)'!C30-'(0) 1a. Activos de Partida'!B30</f>
        <v>0</v>
      </c>
      <c r="D38" s="2820">
        <f>'6. P y G (Ej 1º,2º)'!D30</f>
        <v>0</v>
      </c>
      <c r="E38" s="2820">
        <f>'6. P y G (Ej 1º,2º)'!E30</f>
        <v>0</v>
      </c>
      <c r="F38" s="2820">
        <f>'6. P y G (Ej 1º,2º)'!F30</f>
        <v>0</v>
      </c>
      <c r="G38" s="2820">
        <f>'6. P y G (Ej 1º,2º)'!G30</f>
        <v>0</v>
      </c>
      <c r="H38" s="2820">
        <f>'6. P y G (Ej 1º,2º)'!H30</f>
        <v>0</v>
      </c>
      <c r="I38" s="2820">
        <f>'6. P y G (Ej 1º,2º)'!I30</f>
        <v>0</v>
      </c>
      <c r="J38" s="2820">
        <f>'6. P y G (Ej 1º,2º)'!J30</f>
        <v>0</v>
      </c>
      <c r="K38" s="2820">
        <f>'6. P y G (Ej 1º,2º)'!K30</f>
        <v>0</v>
      </c>
      <c r="L38" s="2820">
        <f>'6. P y G (Ej 1º,2º)'!L30</f>
        <v>0</v>
      </c>
      <c r="M38" s="2820">
        <f>'6. P y G (Ej 1º,2º)'!M30</f>
        <v>0</v>
      </c>
      <c r="N38" s="1133">
        <f>'6. P y G (Ej 1º,2º)'!N30</f>
        <v>0</v>
      </c>
      <c r="O38" s="2312">
        <f>SUM(C38:N38)</f>
        <v>0</v>
      </c>
      <c r="P38" s="845"/>
      <c r="T38" s="849">
        <f>'6. P y G (Ej 1º,2º)'!T30</f>
        <v>0</v>
      </c>
      <c r="U38" s="2820">
        <f>'6. P y G (Ej 1º,2º)'!U30</f>
        <v>0</v>
      </c>
      <c r="V38" s="2820">
        <f>'6. P y G (Ej 1º,2º)'!V30</f>
        <v>0</v>
      </c>
      <c r="W38" s="2820">
        <f>'6. P y G (Ej 1º,2º)'!W30</f>
        <v>0</v>
      </c>
      <c r="X38" s="2820">
        <f>'6. P y G (Ej 1º,2º)'!X30</f>
        <v>0</v>
      </c>
      <c r="Y38" s="2820">
        <f>'6. P y G (Ej 1º,2º)'!Y30</f>
        <v>0</v>
      </c>
      <c r="Z38" s="2820">
        <f>'6. P y G (Ej 1º,2º)'!Z30</f>
        <v>0</v>
      </c>
      <c r="AA38" s="2820">
        <f>'6. P y G (Ej 1º,2º)'!AA30</f>
        <v>0</v>
      </c>
      <c r="AB38" s="2820">
        <f>'6. P y G (Ej 1º,2º)'!AB30</f>
        <v>0</v>
      </c>
      <c r="AC38" s="2820">
        <f>'6. P y G (Ej 1º,2º)'!AC30</f>
        <v>0</v>
      </c>
      <c r="AD38" s="2820">
        <f>'6. P y G (Ej 1º,2º)'!AD30</f>
        <v>0</v>
      </c>
      <c r="AE38" s="1133">
        <f>'6. P y G (Ej 1º,2º)'!AE30</f>
        <v>0</v>
      </c>
      <c r="AF38" s="2312">
        <f>SUM(T38:AE38)</f>
        <v>0</v>
      </c>
      <c r="AG38" s="845"/>
    </row>
    <row r="39" spans="1:33" ht="24.75" customHeight="1">
      <c r="A39" s="2877" t="s">
        <v>36</v>
      </c>
      <c r="B39" s="2865"/>
      <c r="C39" s="2886">
        <f>'6. P y G (Ej 1º,2º)'!C35</f>
        <v>0</v>
      </c>
      <c r="D39" s="2820">
        <f>'6. P y G (Ej 1º,2º)'!D35</f>
        <v>0</v>
      </c>
      <c r="E39" s="2820">
        <f>'6. P y G (Ej 1º,2º)'!E35</f>
        <v>0</v>
      </c>
      <c r="F39" s="2820">
        <f>'6. P y G (Ej 1º,2º)'!F35</f>
        <v>0</v>
      </c>
      <c r="G39" s="2820">
        <f>'6. P y G (Ej 1º,2º)'!G35</f>
        <v>0</v>
      </c>
      <c r="H39" s="2820">
        <f>'6. P y G (Ej 1º,2º)'!H35</f>
        <v>0</v>
      </c>
      <c r="I39" s="2820">
        <f>'6. P y G (Ej 1º,2º)'!I35</f>
        <v>0</v>
      </c>
      <c r="J39" s="2820">
        <f>'6. P y G (Ej 1º,2º)'!J35</f>
        <v>0</v>
      </c>
      <c r="K39" s="2820">
        <f>'6. P y G (Ej 1º,2º)'!K35</f>
        <v>0</v>
      </c>
      <c r="L39" s="2820">
        <f>'6. P y G (Ej 1º,2º)'!L35</f>
        <v>0</v>
      </c>
      <c r="M39" s="2820">
        <f>'6. P y G (Ej 1º,2º)'!M35</f>
        <v>0</v>
      </c>
      <c r="N39" s="1133">
        <f>'6. P y G (Ej 1º,2º)'!N35</f>
        <v>0</v>
      </c>
      <c r="O39" s="2312">
        <f t="shared" si="4"/>
        <v>0</v>
      </c>
      <c r="P39" s="845"/>
      <c r="T39" s="849">
        <f>'6. P y G (Ej 1º,2º)'!T35</f>
        <v>0</v>
      </c>
      <c r="U39" s="2820">
        <f>'6. P y G (Ej 1º,2º)'!U35</f>
        <v>0</v>
      </c>
      <c r="V39" s="2820">
        <f>'6. P y G (Ej 1º,2º)'!V35</f>
        <v>0</v>
      </c>
      <c r="W39" s="2820">
        <f>'6. P y G (Ej 1º,2º)'!W35</f>
        <v>0</v>
      </c>
      <c r="X39" s="2820">
        <f>'6. P y G (Ej 1º,2º)'!X35</f>
        <v>0</v>
      </c>
      <c r="Y39" s="2820">
        <f>'6. P y G (Ej 1º,2º)'!Y35</f>
        <v>0</v>
      </c>
      <c r="Z39" s="2820">
        <f>'6. P y G (Ej 1º,2º)'!Z35</f>
        <v>0</v>
      </c>
      <c r="AA39" s="2820">
        <f>'6. P y G (Ej 1º,2º)'!AA35</f>
        <v>0</v>
      </c>
      <c r="AB39" s="2820">
        <f>'6. P y G (Ej 1º,2º)'!AB35</f>
        <v>0</v>
      </c>
      <c r="AC39" s="2820">
        <f>'6. P y G (Ej 1º,2º)'!AC35</f>
        <v>0</v>
      </c>
      <c r="AD39" s="2820">
        <f>'6. P y G (Ej 1º,2º)'!AD35</f>
        <v>0</v>
      </c>
      <c r="AE39" s="1133">
        <f>'6. P y G (Ej 1º,2º)'!AE35</f>
        <v>0</v>
      </c>
      <c r="AF39" s="2312">
        <f t="shared" ref="AF39:AF48" si="10">SUM(T39:AE39)</f>
        <v>0</v>
      </c>
      <c r="AG39" s="845"/>
    </row>
    <row r="40" spans="1:33" ht="24.75" customHeight="1" thickBot="1">
      <c r="A40" s="2873" t="s">
        <v>373</v>
      </c>
      <c r="B40" s="845"/>
      <c r="C40" s="2886">
        <f>'(0) 3b. Préstam Financ.'!F9+'(0) 3a. Préstam Particip.'!F9</f>
        <v>0</v>
      </c>
      <c r="D40" s="2820">
        <f>'(0) 3b. Préstam Financ.'!$F$10+'(0) 3a. Préstam Particip.'!$F$10</f>
        <v>0</v>
      </c>
      <c r="E40" s="2820">
        <f>'(0) 3b. Préstam Financ.'!$F$11+'(0) 3a. Préstam Particip.'!$F$11</f>
        <v>0</v>
      </c>
      <c r="F40" s="2820">
        <f>'(0) 3b. Préstam Financ.'!$F$12+'(0) 3a. Préstam Particip.'!$F$12</f>
        <v>0</v>
      </c>
      <c r="G40" s="2820">
        <f>'(0) 3b. Préstam Financ.'!$F$13+'(0) 3a. Préstam Particip.'!$F$13</f>
        <v>0</v>
      </c>
      <c r="H40" s="2820">
        <f>'(0) 3b. Préstam Financ.'!$F$14+'(0) 3a. Préstam Particip.'!$F$14</f>
        <v>0</v>
      </c>
      <c r="I40" s="2820">
        <f>'(0) 3b. Préstam Financ.'!$F$15+'(0) 3a. Préstam Particip.'!$F$15</f>
        <v>0</v>
      </c>
      <c r="J40" s="2820">
        <f>'(0) 3b. Préstam Financ.'!$F$16+'(0) 3a. Préstam Particip.'!$F$16</f>
        <v>0</v>
      </c>
      <c r="K40" s="2820">
        <f>'(0) 3b. Préstam Financ.'!$F$17+'(0) 3a. Préstam Particip.'!$F$17</f>
        <v>0</v>
      </c>
      <c r="L40" s="2820">
        <f>'(0) 3b. Préstam Financ.'!$F$18+'(0) 3a. Préstam Particip.'!$F$18</f>
        <v>0</v>
      </c>
      <c r="M40" s="2820">
        <f>'(0) 3b. Préstam Financ.'!$F$19+'(0) 3a. Préstam Particip.'!$F$19</f>
        <v>0</v>
      </c>
      <c r="N40" s="1133">
        <f>'(0) 3b. Préstam Financ.'!$F$20+'(0) 3a. Préstam Particip.'!$F$20</f>
        <v>0</v>
      </c>
      <c r="O40" s="2312">
        <f t="shared" si="4"/>
        <v>0</v>
      </c>
      <c r="T40" s="849">
        <f>'(0) 3b. Préstam Financ.'!F21+'(0) 3a. Préstam Particip.'!F21</f>
        <v>0</v>
      </c>
      <c r="U40" s="2820">
        <f>'(0) 3b. Préstam Financ.'!$F$22+'(0) 3a. Préstam Particip.'!$F$22</f>
        <v>0</v>
      </c>
      <c r="V40" s="2820">
        <f>'(0) 3b. Préstam Financ.'!$F$23+'(0) 3a. Préstam Particip.'!$F$23</f>
        <v>0</v>
      </c>
      <c r="W40" s="2820">
        <f>'(0) 3b. Préstam Financ.'!$F$24+'(0) 3a. Préstam Particip.'!$F$24</f>
        <v>0</v>
      </c>
      <c r="X40" s="2820">
        <f>'(0) 3b. Préstam Financ.'!$F$25+'(0) 3a. Préstam Particip.'!$F$25</f>
        <v>0</v>
      </c>
      <c r="Y40" s="2820">
        <f>'(0) 3b. Préstam Financ.'!$F$26+'(0) 3a. Préstam Particip.'!$F$26</f>
        <v>0</v>
      </c>
      <c r="Z40" s="2820">
        <f>'(0) 3b. Préstam Financ.'!$F$27+'(0) 3a. Préstam Particip.'!$F$27</f>
        <v>0</v>
      </c>
      <c r="AA40" s="2820">
        <f>'(0) 3b. Préstam Financ.'!$F$28+'(0) 3a. Préstam Particip.'!$F$28</f>
        <v>0</v>
      </c>
      <c r="AB40" s="2820">
        <f>'(0) 3b. Préstam Financ.'!$F$29+'(0) 3a. Préstam Particip.'!$F$29</f>
        <v>0</v>
      </c>
      <c r="AC40" s="2820">
        <f>'(0) 3b. Préstam Financ.'!$F$30+'(0) 3a. Préstam Particip.'!$F$30</f>
        <v>0</v>
      </c>
      <c r="AD40" s="2820">
        <f>'(0) 3b. Préstam Financ.'!$F$31+'(0) 3a. Préstam Particip.'!$F$31</f>
        <v>0</v>
      </c>
      <c r="AE40" s="1133">
        <f>'(0) 3b. Préstam Financ.'!$F$32+'(0) 3a. Préstam Particip.'!$F$32</f>
        <v>0</v>
      </c>
      <c r="AF40" s="2312">
        <f t="shared" si="10"/>
        <v>0</v>
      </c>
    </row>
    <row r="41" spans="1:33" ht="24.75" hidden="1" customHeight="1" thickBot="1">
      <c r="A41" s="2878" t="s">
        <v>143</v>
      </c>
      <c r="B41" s="2866"/>
      <c r="C41" s="2890">
        <f>'(0) 3c. Cuadro Renting y L'!$F$9*0+'Aux.4.0.Leasing Inicial'!$D$11</f>
        <v>0</v>
      </c>
      <c r="D41" s="2824">
        <f>'(0) 3c. Cuadro Renting y L'!$F$10*0+'Aux.4.0.Leasing Inicial'!$D$12</f>
        <v>0</v>
      </c>
      <c r="E41" s="2824">
        <f>'(0) 3c. Cuadro Renting y L'!$F$11*0+'Aux.4.0.Leasing Inicial'!$D$13</f>
        <v>0</v>
      </c>
      <c r="F41" s="2824">
        <f>'(0) 3c. Cuadro Renting y L'!$F$12*0+'Aux.4.0.Leasing Inicial'!$D$14</f>
        <v>0</v>
      </c>
      <c r="G41" s="2824">
        <f>'(0) 3c. Cuadro Renting y L'!$F$13*0+'Aux.4.0.Leasing Inicial'!$D$15</f>
        <v>0</v>
      </c>
      <c r="H41" s="2824">
        <f>'(0) 3c. Cuadro Renting y L'!$F$14*0+'Aux.4.0.Leasing Inicial'!$D$16</f>
        <v>0</v>
      </c>
      <c r="I41" s="2824">
        <f>'(0) 3c. Cuadro Renting y L'!$F$15*0+'Aux.4.0.Leasing Inicial'!$D$17</f>
        <v>0</v>
      </c>
      <c r="J41" s="2824">
        <f>'(0) 3c. Cuadro Renting y L'!$F$16*0+'Aux.4.0.Leasing Inicial'!$D$18</f>
        <v>0</v>
      </c>
      <c r="K41" s="2824">
        <f>'(0) 3c. Cuadro Renting y L'!$F$17*0+'Aux.4.0.Leasing Inicial'!$D$19</f>
        <v>0</v>
      </c>
      <c r="L41" s="2824">
        <f>'(0) 3c. Cuadro Renting y L'!$F$18*0+'Aux.4.0.Leasing Inicial'!$D$20</f>
        <v>0</v>
      </c>
      <c r="M41" s="2824">
        <f>'(0) 3c. Cuadro Renting y L'!$F$19*0+'Aux.4.0.Leasing Inicial'!$D$21</f>
        <v>0</v>
      </c>
      <c r="N41" s="2304">
        <f>'(0) 3c. Cuadro Renting y L'!$F$20*0+'Aux.4.0.Leasing Inicial'!$D$22</f>
        <v>0</v>
      </c>
      <c r="O41" s="2315">
        <f t="shared" ref="O41:O45" si="11">SUM(C41:N41)</f>
        <v>0</v>
      </c>
      <c r="P41" s="848"/>
      <c r="T41" s="1400">
        <f>'(0) 3c. Cuadro Renting y L'!$F$21*0+'Aux.4.0.Leasing Inicial'!$D$23</f>
        <v>0</v>
      </c>
      <c r="U41" s="2842">
        <f>'(0) 3c. Cuadro Renting y L'!$F$22*0+'Aux.4.0.Leasing Inicial'!$D$24</f>
        <v>0</v>
      </c>
      <c r="V41" s="2842">
        <f>'(0) 3c. Cuadro Renting y L'!$F$23*0+'Aux.4.0.Leasing Inicial'!$D$25</f>
        <v>0</v>
      </c>
      <c r="W41" s="2842">
        <f>'(0) 3c. Cuadro Renting y L'!$F$24*0+'Aux.4.0.Leasing Inicial'!$D$26</f>
        <v>0</v>
      </c>
      <c r="X41" s="2842">
        <f>'(0) 3c. Cuadro Renting y L'!$F$25*0+'Aux.4.0.Leasing Inicial'!$D$27</f>
        <v>0</v>
      </c>
      <c r="Y41" s="2842">
        <f>'(0) 3c. Cuadro Renting y L'!$F$26*0+'Aux.4.0.Leasing Inicial'!$D$28</f>
        <v>0</v>
      </c>
      <c r="Z41" s="2842">
        <f>'(0) 3c. Cuadro Renting y L'!$F$27*0+'Aux.4.0.Leasing Inicial'!$D$29</f>
        <v>0</v>
      </c>
      <c r="AA41" s="2842">
        <f>'(0) 3c. Cuadro Renting y L'!$F$28*0+'Aux.4.0.Leasing Inicial'!$D$30</f>
        <v>0</v>
      </c>
      <c r="AB41" s="2842">
        <f>'(0) 3c. Cuadro Renting y L'!$F$29*0+'Aux.4.0.Leasing Inicial'!$D$31</f>
        <v>0</v>
      </c>
      <c r="AC41" s="2842">
        <f>'(0) 3c. Cuadro Renting y L'!$F$30*0+'Aux.4.0.Leasing Inicial'!$D$32</f>
        <v>0</v>
      </c>
      <c r="AD41" s="2842">
        <f>'(0) 3c. Cuadro Renting y L'!$F$31*0+'Aux.4.0.Leasing Inicial'!$D$33</f>
        <v>0</v>
      </c>
      <c r="AE41" s="2841">
        <f>'(0) 3c. Cuadro Renting y L'!$F$32*0+'Aux.4.0.Leasing Inicial'!$D$34</f>
        <v>0</v>
      </c>
      <c r="AF41" s="2315">
        <f t="shared" si="10"/>
        <v>0</v>
      </c>
    </row>
    <row r="42" spans="1:33" ht="24.75" customHeight="1" thickTop="1">
      <c r="A42" s="2873" t="s">
        <v>151</v>
      </c>
      <c r="B42" s="845"/>
      <c r="C42" s="2886">
        <f t="shared" ref="C42:N42" si="12">C63</f>
        <v>0</v>
      </c>
      <c r="D42" s="2820">
        <f t="shared" si="12"/>
        <v>0</v>
      </c>
      <c r="E42" s="2820">
        <f t="shared" si="12"/>
        <v>0</v>
      </c>
      <c r="F42" s="2820">
        <f t="shared" si="12"/>
        <v>0</v>
      </c>
      <c r="G42" s="2820">
        <f t="shared" si="12"/>
        <v>0</v>
      </c>
      <c r="H42" s="2820">
        <f t="shared" si="12"/>
        <v>0</v>
      </c>
      <c r="I42" s="2820">
        <f t="shared" si="12"/>
        <v>0</v>
      </c>
      <c r="J42" s="2820">
        <f t="shared" si="12"/>
        <v>0</v>
      </c>
      <c r="K42" s="2820">
        <f t="shared" si="12"/>
        <v>0</v>
      </c>
      <c r="L42" s="2820">
        <f t="shared" si="12"/>
        <v>0</v>
      </c>
      <c r="M42" s="2820">
        <f t="shared" si="12"/>
        <v>0</v>
      </c>
      <c r="N42" s="1133">
        <f t="shared" si="12"/>
        <v>0</v>
      </c>
      <c r="O42" s="2312">
        <f t="shared" si="11"/>
        <v>0</v>
      </c>
      <c r="P42" s="2322" t="s">
        <v>369</v>
      </c>
      <c r="T42" s="849">
        <f t="shared" ref="T42:AE42" si="13">T63</f>
        <v>0</v>
      </c>
      <c r="U42" s="2820">
        <f t="shared" si="13"/>
        <v>0</v>
      </c>
      <c r="V42" s="2820">
        <f t="shared" si="13"/>
        <v>0</v>
      </c>
      <c r="W42" s="2820">
        <f t="shared" si="13"/>
        <v>0</v>
      </c>
      <c r="X42" s="2820">
        <f t="shared" si="13"/>
        <v>0</v>
      </c>
      <c r="Y42" s="2820">
        <f t="shared" si="13"/>
        <v>0</v>
      </c>
      <c r="Z42" s="2820">
        <f t="shared" si="13"/>
        <v>0</v>
      </c>
      <c r="AA42" s="2820">
        <f t="shared" si="13"/>
        <v>0</v>
      </c>
      <c r="AB42" s="2820">
        <f t="shared" si="13"/>
        <v>0</v>
      </c>
      <c r="AC42" s="2820">
        <f t="shared" si="13"/>
        <v>0</v>
      </c>
      <c r="AD42" s="2820">
        <f t="shared" si="13"/>
        <v>0</v>
      </c>
      <c r="AE42" s="1133">
        <f t="shared" si="13"/>
        <v>0</v>
      </c>
      <c r="AF42" s="2312">
        <f t="shared" si="10"/>
        <v>0</v>
      </c>
      <c r="AG42" s="2322" t="s">
        <v>369</v>
      </c>
    </row>
    <row r="43" spans="1:33" ht="24.75" customHeight="1" thickBot="1">
      <c r="A43" s="2879" t="s">
        <v>486</v>
      </c>
      <c r="B43" s="2867"/>
      <c r="C43" s="2887"/>
      <c r="D43" s="2821"/>
      <c r="E43" s="2821"/>
      <c r="F43" s="2821"/>
      <c r="G43" s="2821"/>
      <c r="H43" s="2821"/>
      <c r="I43" s="2821"/>
      <c r="J43" s="2821"/>
      <c r="K43" s="2821"/>
      <c r="L43" s="2821"/>
      <c r="M43" s="2821"/>
      <c r="N43" s="2301"/>
      <c r="O43" s="2312">
        <f t="shared" si="11"/>
        <v>0</v>
      </c>
      <c r="P43" s="847">
        <f>'(0) 1b. Pasivos de Partida'!B22+('7. Plan Invers-Financ (1º,2º)'!AA65)+('7. Plan Invers-Financ (1º,2º)'!AA50)-O43</f>
        <v>0</v>
      </c>
      <c r="Q43" s="810" t="str">
        <f>IF(O43&gt;'(0) 1b. Pasivos de Partida'!B26,"error","")</f>
        <v/>
      </c>
      <c r="T43" s="2833"/>
      <c r="U43" s="2821"/>
      <c r="V43" s="2821"/>
      <c r="W43" s="2821"/>
      <c r="X43" s="2821"/>
      <c r="Y43" s="2821"/>
      <c r="Z43" s="2821"/>
      <c r="AA43" s="2821"/>
      <c r="AB43" s="2821"/>
      <c r="AC43" s="2821"/>
      <c r="AD43" s="2821"/>
      <c r="AE43" s="2301"/>
      <c r="AF43" s="2312">
        <f t="shared" si="10"/>
        <v>0</v>
      </c>
      <c r="AG43" s="847">
        <f>P43+('7. Plan Invers-Financ (1º,2º)'!AL65)+('7. Plan Invers-Financ (1º,2º)'!AL50)-AF43</f>
        <v>0</v>
      </c>
    </row>
    <row r="44" spans="1:33" ht="24.75" hidden="1" customHeight="1" thickTop="1" thickBot="1">
      <c r="A44" s="2880" t="s">
        <v>528</v>
      </c>
      <c r="B44" s="2868"/>
      <c r="C44" s="2891"/>
      <c r="D44" s="2825"/>
      <c r="E44" s="2825"/>
      <c r="F44" s="2825"/>
      <c r="G44" s="2825"/>
      <c r="H44" s="2825"/>
      <c r="I44" s="2825"/>
      <c r="J44" s="2825"/>
      <c r="K44" s="2825"/>
      <c r="L44" s="2825"/>
      <c r="M44" s="2825"/>
      <c r="N44" s="2305"/>
      <c r="O44" s="2313">
        <f t="shared" si="11"/>
        <v>0</v>
      </c>
      <c r="P44" s="1355">
        <f>'(0) 1b. Pasivos de Partida'!B26-O44</f>
        <v>0</v>
      </c>
      <c r="T44" s="2837"/>
      <c r="U44" s="2843"/>
      <c r="V44" s="2843"/>
      <c r="W44" s="2843"/>
      <c r="X44" s="2843"/>
      <c r="Y44" s="2843"/>
      <c r="Z44" s="2843"/>
      <c r="AA44" s="2843"/>
      <c r="AB44" s="2843"/>
      <c r="AC44" s="2843"/>
      <c r="AD44" s="2843"/>
      <c r="AE44" s="2319"/>
      <c r="AF44" s="2321">
        <f t="shared" si="10"/>
        <v>0</v>
      </c>
      <c r="AG44" s="1399">
        <f>P44-AF44</f>
        <v>0</v>
      </c>
    </row>
    <row r="45" spans="1:33" ht="24.75" customHeight="1" thickTop="1">
      <c r="A45" s="2874" t="s">
        <v>762</v>
      </c>
      <c r="B45" s="845"/>
      <c r="C45" s="2887"/>
      <c r="D45" s="2821"/>
      <c r="E45" s="2821"/>
      <c r="F45" s="2821"/>
      <c r="G45" s="2821"/>
      <c r="H45" s="2821"/>
      <c r="I45" s="2821"/>
      <c r="J45" s="2821"/>
      <c r="K45" s="2821"/>
      <c r="L45" s="2821"/>
      <c r="M45" s="2821"/>
      <c r="N45" s="2301"/>
      <c r="O45" s="2316">
        <f t="shared" si="11"/>
        <v>0</v>
      </c>
      <c r="T45" s="2833"/>
      <c r="U45" s="2821"/>
      <c r="V45" s="2821"/>
      <c r="W45" s="2821"/>
      <c r="X45" s="2821"/>
      <c r="Y45" s="2821"/>
      <c r="Z45" s="2821"/>
      <c r="AA45" s="2821"/>
      <c r="AB45" s="2821"/>
      <c r="AC45" s="2821"/>
      <c r="AD45" s="2821"/>
      <c r="AE45" s="2301"/>
      <c r="AF45" s="2316">
        <f t="shared" si="10"/>
        <v>0</v>
      </c>
    </row>
    <row r="46" spans="1:33" ht="24.75" hidden="1" customHeight="1">
      <c r="A46" s="2876" t="s">
        <v>681</v>
      </c>
      <c r="B46" s="845"/>
      <c r="C46" s="2892">
        <f>-'6. P y G (Ej 1º,2º)'!C39</f>
        <v>0</v>
      </c>
      <c r="D46" s="2826">
        <f>-'6. P y G (Ej 1º,2º)'!D39</f>
        <v>0</v>
      </c>
      <c r="E46" s="2826">
        <f>-'6. P y G (Ej 1º,2º)'!E39</f>
        <v>0</v>
      </c>
      <c r="F46" s="2826">
        <f>-'6. P y G (Ej 1º,2º)'!F39</f>
        <v>0</v>
      </c>
      <c r="G46" s="2826">
        <f>-'6. P y G (Ej 1º,2º)'!G39</f>
        <v>0</v>
      </c>
      <c r="H46" s="2826">
        <f>-'6. P y G (Ej 1º,2º)'!H39</f>
        <v>0</v>
      </c>
      <c r="I46" s="2826">
        <f>-'6. P y G (Ej 1º,2º)'!I39</f>
        <v>0</v>
      </c>
      <c r="J46" s="2826">
        <f>-'6. P y G (Ej 1º,2º)'!J39</f>
        <v>0</v>
      </c>
      <c r="K46" s="2826">
        <f>-'6. P y G (Ej 1º,2º)'!K39</f>
        <v>0</v>
      </c>
      <c r="L46" s="2826">
        <f>-'6. P y G (Ej 1º,2º)'!L39</f>
        <v>0</v>
      </c>
      <c r="M46" s="2826">
        <f>-'6. P y G (Ej 1º,2º)'!M39</f>
        <v>0</v>
      </c>
      <c r="N46" s="2306">
        <f>-'6. P y G (Ej 1º,2º)'!N39</f>
        <v>0</v>
      </c>
      <c r="O46" s="2312">
        <f t="shared" si="4"/>
        <v>0</v>
      </c>
      <c r="P46" s="845"/>
      <c r="T46" s="1188">
        <f>-'6. P y G (Ej 1º,2º)'!T39</f>
        <v>0</v>
      </c>
      <c r="U46" s="2844">
        <f>-'6. P y G (Ej 1º,2º)'!U39</f>
        <v>0</v>
      </c>
      <c r="V46" s="2844">
        <f>-'6. P y G (Ej 1º,2º)'!V39</f>
        <v>0</v>
      </c>
      <c r="W46" s="2844">
        <f>-'6. P y G (Ej 1º,2º)'!W39</f>
        <v>0</v>
      </c>
      <c r="X46" s="2844">
        <f>-'6. P y G (Ej 1º,2º)'!X39</f>
        <v>0</v>
      </c>
      <c r="Y46" s="2844">
        <f>-'6. P y G (Ej 1º,2º)'!Y39</f>
        <v>0</v>
      </c>
      <c r="Z46" s="2845">
        <f>-'6. P y G (Ej 1º,2º)'!Z39+IF('(0) 5. Resumen P y G (5 Ej.)'!D45&gt;0,'(0) 5. Resumen P y G (5 Ej.)'!D45,0)+'(0) 5. Resumen P y G (5 Ej.)'!H65/3</f>
        <v>0</v>
      </c>
      <c r="AA46" s="2845">
        <f>-'6. P y G (Ej 1º,2º)'!AA39+'(0) 5. Resumen P y G (5 Ej.)'!H65/3</f>
        <v>0</v>
      </c>
      <c r="AB46" s="2845">
        <f>-'6. P y G (Ej 1º,2º)'!AB39+'(0) 5. Resumen P y G (5 Ej.)'!H65/3</f>
        <v>0</v>
      </c>
      <c r="AC46" s="2826">
        <f>-'6. P y G (Ej 1º,2º)'!AC39</f>
        <v>0</v>
      </c>
      <c r="AD46" s="2826">
        <f>-'6. P y G (Ej 1º,2º)'!AD39</f>
        <v>0</v>
      </c>
      <c r="AE46" s="2306">
        <f>-'6. P y G (Ej 1º,2º)'!AE39</f>
        <v>0</v>
      </c>
      <c r="AF46" s="2312">
        <f t="shared" si="10"/>
        <v>0</v>
      </c>
      <c r="AG46" s="845"/>
    </row>
    <row r="47" spans="1:33" ht="24.75" customHeight="1" thickBot="1">
      <c r="A47" s="2873" t="s">
        <v>587</v>
      </c>
      <c r="B47" s="845"/>
      <c r="C47" s="2893">
        <f>(C26+C27+C28+C29+C30*0+C31+C32+C33+C34+C35+C36+C37+C45+C46)*'1.Datos Básicos. Product-Serv'!$B$17+('7. Plan Invers-Financ (1º,2º)'!AA67)-('7. Plan Invers-Financ (1º,2º)'!AA60*'1.Datos Básicos. Product-Serv'!B17)+('7. Plan Invers-Financ (1º,2º)'!O43)*0+('7. Plan Invers-Financ (1º,2º)'!AA53)*0+('6. P y G (Ej 1º,2º)'!C38*'1.Datos Básicos. Product-Serv'!B17)*0</f>
        <v>0</v>
      </c>
      <c r="D47" s="2827">
        <f>(D26+D27+D28+D29+D30*0+D31+D32+D33+D34+D45+D46+D35+D36+D37)*'1.Datos Básicos. Product-Serv'!$B$17+('6. P y G (Ej 1º,2º)'!D38*'1.Datos Básicos. Product-Serv'!$B$17)*0</f>
        <v>0</v>
      </c>
      <c r="E47" s="2827">
        <f>(E26+E27+E28+E29+E30*0+E31+E32+E33+E34+E45+E46+E35+E36+E37)*'1.Datos Básicos. Product-Serv'!$B$17+('6. P y G (Ej 1º,2º)'!E38*'1.Datos Básicos. Product-Serv'!$B$17)*0</f>
        <v>0</v>
      </c>
      <c r="F47" s="2827">
        <f>(F26+F27+F28+F29+F30*0+F31+F32+F33+F34+F45+F46+F35+F36+F37)*'1.Datos Básicos. Product-Serv'!$B$17+('6. P y G (Ej 1º,2º)'!F38*'1.Datos Básicos. Product-Serv'!$B$17)*0</f>
        <v>0</v>
      </c>
      <c r="G47" s="2827">
        <f>(G26+G27+G28+G29+G30*0+G31+G32+G33+G34+G45+G46+G35+G36+G37)*'1.Datos Básicos. Product-Serv'!$B$17+('6. P y G (Ej 1º,2º)'!G38*'1.Datos Básicos. Product-Serv'!$B$17)*0</f>
        <v>0</v>
      </c>
      <c r="H47" s="2827">
        <f>(H26+H27+H28+H29+H30*0+H31+H32+H33+H34+H45+H46+H35+H36+H37)*'1.Datos Básicos. Product-Serv'!$B$17+('6. P y G (Ej 1º,2º)'!H38*'1.Datos Básicos. Product-Serv'!$B$17)*0</f>
        <v>0</v>
      </c>
      <c r="I47" s="2827">
        <f>(I26+I27+I28+I29+I30*0+I31+I32+I33+I34+I45+I46+I35+I36+I37)*'1.Datos Básicos. Product-Serv'!$B$17+('6. P y G (Ej 1º,2º)'!I38*'1.Datos Básicos. Product-Serv'!$B$17)*0</f>
        <v>0</v>
      </c>
      <c r="J47" s="2827">
        <f>(J26+J27+J28+J29+J30*0+J31+J32+J33+J34+J45+J46+J35+J36+J37)*'1.Datos Básicos. Product-Serv'!$B$17+('6. P y G (Ej 1º,2º)'!J38*'1.Datos Básicos. Product-Serv'!$B$17)*0</f>
        <v>0</v>
      </c>
      <c r="K47" s="2827">
        <f>(K26+K27+K28+K29+K30*0+K31+K32+K33+K34+K45+K46+K35+K36+K37)*'1.Datos Básicos. Product-Serv'!$B$17+('6. P y G (Ej 1º,2º)'!K38*'1.Datos Básicos. Product-Serv'!$B$17)*0</f>
        <v>0</v>
      </c>
      <c r="L47" s="2827">
        <f>(L26+L27+L28+L29+L30*0+L31+L32+L33+L34+L45+L46+L35+L36+L37)*'1.Datos Básicos. Product-Serv'!$B$17+('6. P y G (Ej 1º,2º)'!L38*'1.Datos Básicos. Product-Serv'!$B$17)*0</f>
        <v>0</v>
      </c>
      <c r="M47" s="2827">
        <f>(M26+M27+M28+M29+M30*0+M31+M32+M33+M34+M45+M46+M35+M36+M37)*'1.Datos Básicos. Product-Serv'!$B$17+('6. P y G (Ej 1º,2º)'!M38*'1.Datos Básicos. Product-Serv'!$B$17)*0</f>
        <v>0</v>
      </c>
      <c r="N47" s="2307">
        <f>(N26+N27+N28+N29+N30*0+N31+N32+N33+N34+N45+N46+N35+N36+N37)*'1.Datos Básicos. Product-Serv'!$B$17+('6. P y G (Ej 1º,2º)'!N38*'1.Datos Básicos. Product-Serv'!$B$17)*0</f>
        <v>0</v>
      </c>
      <c r="O47" s="2312">
        <f t="shared" si="4"/>
        <v>0</v>
      </c>
      <c r="P47" s="845"/>
      <c r="T47" s="2834">
        <f>(T26+T27+T28+T29+T30*0+T31+T32+T33+T34+T35+T36+T37+T45+T46)*'1.Datos Básicos. Product-Serv'!$B$17+('7. Plan Invers-Financ (1º,2º)'!AL67)-('7. Plan Invers-Financ (1º,2º)'!AL60*'1.Datos Básicos. Product-Serv'!B17)+('7. Plan Invers-Financ (1º,2º)'!AL53)*0+('6. P y G (Ej 1º,2º)'!T38*'1.Datos Básicos. Product-Serv'!B17)*0</f>
        <v>0</v>
      </c>
      <c r="U47" s="2827">
        <f>(U26+U27+U28+U29+U30*0+U31+U32+U33+U34+U45+U46+U35+U36+U37)*'1.Datos Básicos. Product-Serv'!$B$17+('6. P y G (Ej 1º,2º)'!U38*'1.Datos Básicos. Product-Serv'!$B$17)*0</f>
        <v>0</v>
      </c>
      <c r="V47" s="2827">
        <f>(V26+V27+V28+V29+V30*0+V31+V32+V33+V34+V45+V46+V35+V36+V37)*'1.Datos Básicos. Product-Serv'!$B$17+('6. P y G (Ej 1º,2º)'!V38*'1.Datos Básicos. Product-Serv'!$B$17)*0</f>
        <v>0</v>
      </c>
      <c r="W47" s="2827">
        <f>(W26+W27+W28+W29+W30*0+W31+W32+W33+W34+W45+W46+W35+W36+W37)*'1.Datos Básicos. Product-Serv'!$B$17+('6. P y G (Ej 1º,2º)'!W38*'1.Datos Básicos. Product-Serv'!$B$17)*0</f>
        <v>0</v>
      </c>
      <c r="X47" s="2827">
        <f>(X26+X27+X28+X29+X30*0+X31+X32+X33+X34+X45+X46+X35+X36+X37)*'1.Datos Básicos. Product-Serv'!$B$17+('6. P y G (Ej 1º,2º)'!X38*'1.Datos Básicos. Product-Serv'!$B$17)*0</f>
        <v>0</v>
      </c>
      <c r="Y47" s="2827">
        <f>(Y26+Y27+Y28+Y29+Y30*0+Y31+Y32+Y33+Y34+Y45+Y46+Y35+Y36+Y37)*'1.Datos Básicos. Product-Serv'!$B$17+('6. P y G (Ej 1º,2º)'!Y38*'1.Datos Básicos. Product-Serv'!$B$17)*0</f>
        <v>0</v>
      </c>
      <c r="Z47" s="2827">
        <f>(Z26+Z27+Z28+Z29+Z30*0+Z31+Z32+Z33+Z34+Z45+Z46*0+Z35+Z36+Z37)*'1.Datos Básicos. Product-Serv'!$B$17+('6. P y G (Ej 1º,2º)'!Z38*'1.Datos Básicos. Product-Serv'!$B$17)*0</f>
        <v>0</v>
      </c>
      <c r="AA47" s="2827">
        <f>(AA26+AA27+AA28+AA29+AA30*0+AA31+AA32+AA33+AA34+AA45+AA46*0+AA35+AA36+AA37)*'1.Datos Básicos. Product-Serv'!$B$17+('6. P y G (Ej 1º,2º)'!AA38*'1.Datos Básicos. Product-Serv'!$B$17)*0</f>
        <v>0</v>
      </c>
      <c r="AB47" s="2827">
        <f>(AB26+AB27+AB28+AB29+AB30*0+AB31+AB32+AB33+AB34+AB45+AB46*0+AB35+AB36+AB37)*'1.Datos Básicos. Product-Serv'!$B$17+('6. P y G (Ej 1º,2º)'!AB38*'1.Datos Básicos. Product-Serv'!$B$17)*0</f>
        <v>0</v>
      </c>
      <c r="AC47" s="2827">
        <f>(AC26+AC27+AC28+AC29+AC30*0+AC31+AC32+AC33+AC34+AC45+AC46+AC35+AC36+AC37)*'1.Datos Básicos. Product-Serv'!$B$17+('6. P y G (Ej 1º,2º)'!AC38*'1.Datos Básicos. Product-Serv'!$B$17)*0</f>
        <v>0</v>
      </c>
      <c r="AD47" s="2827">
        <f>(AD26+AD27+AD28+AD29+AD30*0+AD31+AD32+AD33+AD34+AD45+AD46+AD35+AD36+AD37)*'1.Datos Básicos. Product-Serv'!$B$17+('6. P y G (Ej 1º,2º)'!AD38*'1.Datos Básicos. Product-Serv'!$B$17)*0</f>
        <v>0</v>
      </c>
      <c r="AE47" s="2307">
        <f>(AE26+AE27+AE28+AE29+AE30*0+AE31+AE32+AE33+AE34+AE45+AE46+AE35+AE36+AE37)*'1.Datos Básicos. Product-Serv'!$B$17+('6. P y G (Ej 1º,2º)'!AE38*'1.Datos Básicos. Product-Serv'!$B$17)*0</f>
        <v>0</v>
      </c>
      <c r="AF47" s="2312">
        <f t="shared" si="10"/>
        <v>0</v>
      </c>
      <c r="AG47" s="845"/>
    </row>
    <row r="48" spans="1:33" s="791" customFormat="1" ht="24.75" customHeight="1">
      <c r="A48" s="2875" t="s">
        <v>63</v>
      </c>
      <c r="B48" s="748"/>
      <c r="C48" s="2888">
        <f t="shared" ref="C48:N48" si="14">SUM(C19:C47)</f>
        <v>0</v>
      </c>
      <c r="D48" s="2822">
        <f t="shared" si="14"/>
        <v>0</v>
      </c>
      <c r="E48" s="2822">
        <f t="shared" si="14"/>
        <v>0</v>
      </c>
      <c r="F48" s="2822">
        <f t="shared" si="14"/>
        <v>0</v>
      </c>
      <c r="G48" s="2822">
        <f t="shared" si="14"/>
        <v>0</v>
      </c>
      <c r="H48" s="2822">
        <f t="shared" si="14"/>
        <v>0</v>
      </c>
      <c r="I48" s="2822">
        <f t="shared" si="14"/>
        <v>0</v>
      </c>
      <c r="J48" s="2822">
        <f t="shared" si="14"/>
        <v>0</v>
      </c>
      <c r="K48" s="2822">
        <f t="shared" si="14"/>
        <v>0</v>
      </c>
      <c r="L48" s="2822">
        <f t="shared" si="14"/>
        <v>0</v>
      </c>
      <c r="M48" s="2822">
        <f t="shared" si="14"/>
        <v>0</v>
      </c>
      <c r="N48" s="2302">
        <f t="shared" si="14"/>
        <v>0</v>
      </c>
      <c r="O48" s="2314">
        <f t="shared" si="4"/>
        <v>0</v>
      </c>
      <c r="P48" s="2691" t="s">
        <v>78</v>
      </c>
      <c r="R48" s="2328"/>
      <c r="T48" s="2835">
        <f t="shared" ref="T48:AE48" si="15">SUM(T19:T47)</f>
        <v>0</v>
      </c>
      <c r="U48" s="2822">
        <f t="shared" si="15"/>
        <v>0</v>
      </c>
      <c r="V48" s="2822">
        <f t="shared" si="15"/>
        <v>0</v>
      </c>
      <c r="W48" s="2822">
        <f t="shared" si="15"/>
        <v>0</v>
      </c>
      <c r="X48" s="2822">
        <f t="shared" si="15"/>
        <v>0</v>
      </c>
      <c r="Y48" s="2822">
        <f t="shared" si="15"/>
        <v>0</v>
      </c>
      <c r="Z48" s="2822">
        <f t="shared" si="15"/>
        <v>0</v>
      </c>
      <c r="AA48" s="2822">
        <f t="shared" si="15"/>
        <v>0</v>
      </c>
      <c r="AB48" s="2822">
        <f t="shared" si="15"/>
        <v>0</v>
      </c>
      <c r="AC48" s="2822">
        <f t="shared" si="15"/>
        <v>0</v>
      </c>
      <c r="AD48" s="2822">
        <f t="shared" si="15"/>
        <v>0</v>
      </c>
      <c r="AE48" s="2302">
        <f t="shared" si="15"/>
        <v>0</v>
      </c>
      <c r="AF48" s="2314">
        <f t="shared" si="10"/>
        <v>0</v>
      </c>
      <c r="AG48" s="2691" t="s">
        <v>78</v>
      </c>
    </row>
    <row r="49" spans="1:36" s="791" customFormat="1" ht="24.75" customHeight="1" thickBot="1">
      <c r="A49" s="2881" t="s">
        <v>146</v>
      </c>
      <c r="B49" s="748"/>
      <c r="C49" s="2894"/>
      <c r="D49" s="2828"/>
      <c r="E49" s="2828"/>
      <c r="F49" s="2828">
        <f>SUM('2.Ventas y Cobros (Ej 1º,2º)'!D27:F27)-SUM('3.Costes D.V. y Pagos (1º,2º)'!D26:F26)-SUM('4.Costes Mk y Métricas (1º,2º)'!D12:F12)-SUM('3.Costes D.V. y Pagos (1º,2º)'!D38:F38)-(C47+D47+E47)-'(0) 1a. Activos de Partida'!B40+IF(C49&lt;0,C49,0)*0+('6. P y G (Ej 1º,2º)'!C38+'6. P y G (Ej 1º,2º)'!D38+'6. P y G (Ej 1º,2º)'!E38)*'1.Datos Básicos. Product-Serv'!B17+'(0) 1b. Pasivos de Partida'!B31</f>
        <v>0</v>
      </c>
      <c r="G49" s="2828"/>
      <c r="H49" s="2828"/>
      <c r="I49" s="2828">
        <f>IF(F49&lt;0,SUM('2.Ventas y Cobros (Ej 1º,2º)'!G27:I27)-SUM('3.Costes D.V. y Pagos (1º,2º)'!G26:I26)-SUM('4.Costes Mk y Métricas (1º,2º)'!G12:I12)-SUM('3.Costes D.V. y Pagos (1º,2º)'!G38:I38)-F47-G47-H47+F49,SUM('2.Ventas y Cobros (Ej 1º,2º)'!G27:I27)-SUM('3.Costes D.V. y Pagos (1º,2º)'!G26:I26)-SUM('4.Costes Mk y Métricas (1º,2º)'!G12:I12)-SUM('3.Costes D.V. y Pagos (1º,2º)'!G38:I38)-F47-G47-H47)+('6. P y G (Ej 1º,2º)'!F38+'6. P y G (Ej 1º,2º)'!G38+'6. P y G (Ej 1º,2º)'!H38)*'1.Datos Básicos. Product-Serv'!B17</f>
        <v>0</v>
      </c>
      <c r="J49" s="2828"/>
      <c r="K49" s="2828"/>
      <c r="L49" s="2828">
        <f>IF(I49&lt;0,SUM('2.Ventas y Cobros (Ej 1º,2º)'!J27:L27)-SUM('3.Costes D.V. y Pagos (1º,2º)'!J26:L26)-SUM('4.Costes Mk y Métricas (1º,2º)'!J12:L12)-SUM('3.Costes D.V. y Pagos (1º,2º)'!J38:L38)-I47-J47-K47+I49,SUM('2.Ventas y Cobros (Ej 1º,2º)'!J27:L27)-SUM('3.Costes D.V. y Pagos (1º,2º)'!J26:L26)-SUM('4.Costes Mk y Métricas (1º,2º)'!J12:L12)-SUM('3.Costes D.V. y Pagos (1º,2º)'!J38:L38)-I47-J47-K47)+('6. P y G (Ej 1º,2º)'!I38+'6. P y G (Ej 1º,2º)'!J38+'6. P y G (Ej 1º,2º)'!K38)*'1.Datos Básicos. Product-Serv'!B17</f>
        <v>0</v>
      </c>
      <c r="M49" s="2828"/>
      <c r="N49" s="2308"/>
      <c r="O49" s="2312"/>
      <c r="P49" s="851">
        <f>IF(L49&lt;0,SUM('2.Ventas y Cobros (Ej 1º,2º)'!M27:O27)-SUM('3.Costes D.V. y Pagos (1º,2º)'!M26:O26)-SUM('4.Costes Mk y Métricas (1º,2º)'!M12:O12)-SUM('3.Costes D.V. y Pagos (1º,2º)'!M38:O38)-L47-M47-N47+L49,SUM('2.Ventas y Cobros (Ej 1º,2º)'!M27:O27)-SUM('3.Costes D.V. y Pagos (1º,2º)'!M26:O26)-SUM('4.Costes Mk y Métricas (1º,2º)'!M12:O12)-SUM('3.Costes D.V. y Pagos (1º,2º)'!M38:O38)-L47-M47-N47)+('6. P y G (Ej 1º,2º)'!L38+'6. P y G (Ej 1º,2º)'!M38+'6. P y G (Ej 1º,2º)'!N38)*'1.Datos Básicos. Product-Serv'!B17</f>
        <v>0</v>
      </c>
      <c r="R49" s="2328"/>
      <c r="T49" s="2838">
        <f>P49</f>
        <v>0</v>
      </c>
      <c r="U49" s="2828"/>
      <c r="V49" s="2828"/>
      <c r="W49" s="2828">
        <f>IF(T49&lt;0,SUM('2.Ventas y Cobros (Ej 1º,2º)'!W27:Y27)-SUM('3.Costes D.V. y Pagos (1º,2º)'!Y26:AA26)-SUM('4.Costes Mk y Métricas (1º,2º)'!W12:Y12)-SUM('3.Costes D.V. y Pagos (1º,2º)'!Y38:AA38)-T47-U47-V47+T49,SUM('2.Ventas y Cobros (Ej 1º,2º)'!W27:Y27)-SUM('3.Costes D.V. y Pagos (1º,2º)'!Y26:AA26)-SUM('4.Costes Mk y Métricas (1º,2º)'!W12:Y12)-SUM('3.Costes D.V. y Pagos (1º,2º)'!Y38:AA38)-T47-U47-V47)+('6. P y G (Ej 1º,2º)'!T38+'6. P y G (Ej 1º,2º)'!U38+'6. P y G (Ej 1º,2º)'!V38)*'1.Datos Básicos. Product-Serv'!B17</f>
        <v>0</v>
      </c>
      <c r="X49" s="2828"/>
      <c r="Y49" s="2828"/>
      <c r="Z49" s="2828">
        <f>IF(W49&lt;0,SUM('2.Ventas y Cobros (Ej 1º,2º)'!Z27:AB27)-SUM('3.Costes D.V. y Pagos (1º,2º)'!AB26:AD26)-SUM('4.Costes Mk y Métricas (1º,2º)'!Z12:AB12)-SUM('3.Costes D.V. y Pagos (1º,2º)'!AB38:AD38)-W47-X47-Y47+W49,SUM('2.Ventas y Cobros (Ej 1º,2º)'!Z27:AB27)-SUM('3.Costes D.V. y Pagos (1º,2º)'!AB26:AD26)-SUM('4.Costes Mk y Métricas (1º,2º)'!Z12:AB12)-SUM('3.Costes D.V. y Pagos (1º,2º)'!AB38:AD38)-W47-X47-Y47)+('6. P y G (Ej 1º,2º)'!W38+'6. P y G (Ej 1º,2º)'!X38+'6. P y G (Ej 1º,2º)'!Y38)*'1.Datos Básicos. Product-Serv'!B17</f>
        <v>0</v>
      </c>
      <c r="AA49" s="2828"/>
      <c r="AB49" s="2828"/>
      <c r="AC49" s="2828">
        <f>IF(Z49&lt;0,SUM('2.Ventas y Cobros (Ej 1º,2º)'!AC27:AE27)-SUM('3.Costes D.V. y Pagos (1º,2º)'!AE26:AG26)-SUM('4.Costes Mk y Métricas (1º,2º)'!AC12:AE12)-SUM('3.Costes D.V. y Pagos (1º,2º)'!AE38:AG38)-Z47-AA47-AB47+Z49,SUM('2.Ventas y Cobros (Ej 1º,2º)'!AC27:AE27)-SUM('3.Costes D.V. y Pagos (1º,2º)'!AE26:AG26)-SUM('4.Costes Mk y Métricas (1º,2º)'!AC12:AE12)-SUM('3.Costes D.V. y Pagos (1º,2º)'!AE38:AG38)-Z47-AA47-AB47)+('6. P y G (Ej 1º,2º)'!Z38+'6. P y G (Ej 1º,2º)'!AA38+'6. P y G (Ej 1º,2º)'!AB38)*'1.Datos Básicos. Product-Serv'!B17</f>
        <v>0</v>
      </c>
      <c r="AD49" s="2828"/>
      <c r="AE49" s="2308"/>
      <c r="AF49" s="2312"/>
      <c r="AG49" s="851">
        <f>IF(AC49&lt;0,SUM('2.Ventas y Cobros (Ej 1º,2º)'!AF27:AH27)-SUM('3.Costes D.V. y Pagos (1º,2º)'!AH26:AJ26)-SUM('4.Costes Mk y Métricas (1º,2º)'!AF12:AH12)-SUM('3.Costes D.V. y Pagos (1º,2º)'!AH38:AJ38)-AC47-AD47-AE47+AC49,SUM('2.Ventas y Cobros (Ej 1º,2º)'!AF27:AH27)-SUM('3.Costes D.V. y Pagos (1º,2º)'!AH26:AJ26)-SUM('4.Costes Mk y Métricas (1º,2º)'!AF12:AH12)-SUM('3.Costes D.V. y Pagos (1º,2º)'!AH38:AJ38)-AC47-AD47-AE47)+('6. P y G (Ej 1º,2º)'!AC38+'6. P y G (Ej 1º,2º)'!AD38+'6. P y G (Ej 1º,2º)'!AE38)*'1.Datos Básicos. Product-Serv'!B17</f>
        <v>0</v>
      </c>
    </row>
    <row r="50" spans="1:36" s="791" customFormat="1" ht="24.75" customHeight="1">
      <c r="A50" s="2881" t="s">
        <v>145</v>
      </c>
      <c r="B50" s="748"/>
      <c r="C50" s="2894"/>
      <c r="D50" s="2828"/>
      <c r="E50" s="2828"/>
      <c r="F50" s="2828">
        <f>SUM(C17:E17)</f>
        <v>0</v>
      </c>
      <c r="G50" s="2828"/>
      <c r="H50" s="2828"/>
      <c r="I50" s="2828">
        <f>SUM(F17:H17)</f>
        <v>0</v>
      </c>
      <c r="J50" s="2828"/>
      <c r="K50" s="2828"/>
      <c r="L50" s="2828">
        <f>SUM(I17:K17)+('(0) 5. Resumen P y G (5 Ej.)'!E65*'(0) 5. Resumen P y G (5 Ej.)'!D71)</f>
        <v>0</v>
      </c>
      <c r="M50" s="2828"/>
      <c r="N50" s="2308"/>
      <c r="O50" s="2312"/>
      <c r="P50" s="852">
        <f>SUM(L17:N17)</f>
        <v>0</v>
      </c>
      <c r="R50" s="2328"/>
      <c r="T50" s="2838">
        <f>P50</f>
        <v>0</v>
      </c>
      <c r="U50" s="2828"/>
      <c r="V50" s="2828"/>
      <c r="W50" s="2828">
        <f>SUM(T17:V17)</f>
        <v>0</v>
      </c>
      <c r="X50" s="2828"/>
      <c r="Y50" s="2828"/>
      <c r="Z50" s="2828">
        <f>SUM(W17:Y17)</f>
        <v>0</v>
      </c>
      <c r="AA50" s="2828"/>
      <c r="AB50" s="2828"/>
      <c r="AC50" s="2828">
        <f>SUM(Z17:AB17)+('(0) 5. Resumen P y G (5 Ej.)'!H65*'(0) 5. Resumen P y G (5 Ej.)'!D71)</f>
        <v>0</v>
      </c>
      <c r="AD50" s="2828"/>
      <c r="AE50" s="2308"/>
      <c r="AF50" s="2312"/>
      <c r="AG50" s="852">
        <f>SUM(AC17:AE17)</f>
        <v>0</v>
      </c>
      <c r="AH50" s="853">
        <f>AG49+AG50</f>
        <v>0</v>
      </c>
      <c r="AI50" s="853">
        <f>'2.Ventas y Cobros (Ej 1º,2º)'!AI65</f>
        <v>0</v>
      </c>
      <c r="AJ50" s="853">
        <f>AH50+AI50</f>
        <v>0</v>
      </c>
    </row>
    <row r="51" spans="1:36" s="791" customFormat="1" ht="24.75" customHeight="1" thickBot="1">
      <c r="A51" s="2882" t="s">
        <v>782</v>
      </c>
      <c r="B51" s="748"/>
      <c r="C51" s="2895">
        <f>C18-C48</f>
        <v>0</v>
      </c>
      <c r="D51" s="2829">
        <f>D18-D48</f>
        <v>0</v>
      </c>
      <c r="E51" s="2829">
        <f>E18-E48</f>
        <v>0</v>
      </c>
      <c r="F51" s="2829">
        <f>IF(F49&gt;0,F18-F48-F50-F49,F18-F48-F50)</f>
        <v>0</v>
      </c>
      <c r="G51" s="2829">
        <f>G18-G48</f>
        <v>0</v>
      </c>
      <c r="H51" s="2829">
        <f>H18-H48</f>
        <v>0</v>
      </c>
      <c r="I51" s="2829">
        <f>IF(I49&gt;0,I18-I48-I50-I49,I18-I48-I50)</f>
        <v>0</v>
      </c>
      <c r="J51" s="2829">
        <f>J18-J48</f>
        <v>0</v>
      </c>
      <c r="K51" s="2829">
        <f>K18-K48</f>
        <v>0</v>
      </c>
      <c r="L51" s="2829">
        <f>IF(L49&gt;0,L18-L48-L50-L49,L18-L48-L50)</f>
        <v>0</v>
      </c>
      <c r="M51" s="2829">
        <f>M18-M48</f>
        <v>0</v>
      </c>
      <c r="N51" s="2323">
        <f>N18-N48</f>
        <v>0</v>
      </c>
      <c r="O51" s="2312"/>
      <c r="P51" s="2692" t="s">
        <v>77</v>
      </c>
      <c r="R51" s="2328"/>
      <c r="T51" s="2839">
        <f>IF(T49&gt;0,T18-T48-T50-T49,T18-T48-T50)</f>
        <v>0</v>
      </c>
      <c r="U51" s="2829">
        <f>U18-U48</f>
        <v>0</v>
      </c>
      <c r="V51" s="2829">
        <f>V18-V48</f>
        <v>0</v>
      </c>
      <c r="W51" s="2829">
        <f>IF(W49&gt;0,W18-W48-W50-W49,W18-W48-W50)</f>
        <v>0</v>
      </c>
      <c r="X51" s="2829">
        <f>X18-X48</f>
        <v>0</v>
      </c>
      <c r="Y51" s="2829">
        <f>Y18-Y48</f>
        <v>0</v>
      </c>
      <c r="Z51" s="2829">
        <f>IF(Z49&gt;0,Z18-Z48-Z50-Z49,Z18-Z48-Z50)</f>
        <v>0</v>
      </c>
      <c r="AA51" s="2829">
        <f>AA18-AA48</f>
        <v>0</v>
      </c>
      <c r="AB51" s="2829">
        <f>AB18-AB48</f>
        <v>0</v>
      </c>
      <c r="AC51" s="2829">
        <f>IF(AC49&gt;0,AC18-AC48-AC50-AC49,AC18-AC48-AC50)</f>
        <v>0</v>
      </c>
      <c r="AD51" s="2829">
        <f>AD18-AD48</f>
        <v>0</v>
      </c>
      <c r="AE51" s="2323">
        <f>AE18-AE48</f>
        <v>0</v>
      </c>
      <c r="AF51" s="2312"/>
      <c r="AG51" s="2692" t="s">
        <v>77</v>
      </c>
    </row>
    <row r="52" spans="1:36" s="791" customFormat="1" ht="24.75" customHeight="1" thickBot="1">
      <c r="A52" s="2883" t="s">
        <v>684</v>
      </c>
      <c r="B52" s="748"/>
      <c r="C52" s="2896">
        <f t="shared" ref="C52:N52" si="16">C12+C51</f>
        <v>0</v>
      </c>
      <c r="D52" s="2830">
        <f t="shared" si="16"/>
        <v>0</v>
      </c>
      <c r="E52" s="2830">
        <f t="shared" si="16"/>
        <v>0</v>
      </c>
      <c r="F52" s="2830">
        <f t="shared" si="16"/>
        <v>0</v>
      </c>
      <c r="G52" s="2830">
        <f t="shared" si="16"/>
        <v>0</v>
      </c>
      <c r="H52" s="2830">
        <f t="shared" si="16"/>
        <v>0</v>
      </c>
      <c r="I52" s="2830">
        <f t="shared" si="16"/>
        <v>0</v>
      </c>
      <c r="J52" s="2830">
        <f t="shared" si="16"/>
        <v>0</v>
      </c>
      <c r="K52" s="2830">
        <f t="shared" si="16"/>
        <v>0</v>
      </c>
      <c r="L52" s="2830">
        <f t="shared" si="16"/>
        <v>0</v>
      </c>
      <c r="M52" s="2830">
        <f t="shared" si="16"/>
        <v>0</v>
      </c>
      <c r="N52" s="2324">
        <f t="shared" si="16"/>
        <v>0</v>
      </c>
      <c r="O52" s="2317"/>
      <c r="P52" s="748"/>
      <c r="R52" s="2328"/>
      <c r="T52" s="2840">
        <f t="shared" ref="T52:AE52" si="17">T12+T51</f>
        <v>0</v>
      </c>
      <c r="U52" s="2830">
        <f t="shared" si="17"/>
        <v>0</v>
      </c>
      <c r="V52" s="2830">
        <f t="shared" si="17"/>
        <v>0</v>
      </c>
      <c r="W52" s="2830">
        <f t="shared" si="17"/>
        <v>0</v>
      </c>
      <c r="X52" s="2830">
        <f t="shared" si="17"/>
        <v>0</v>
      </c>
      <c r="Y52" s="2830">
        <f t="shared" si="17"/>
        <v>0</v>
      </c>
      <c r="Z52" s="2830">
        <f t="shared" si="17"/>
        <v>0</v>
      </c>
      <c r="AA52" s="2830">
        <f t="shared" si="17"/>
        <v>0</v>
      </c>
      <c r="AB52" s="2830">
        <f t="shared" si="17"/>
        <v>0</v>
      </c>
      <c r="AC52" s="2830">
        <f t="shared" si="17"/>
        <v>0</v>
      </c>
      <c r="AD52" s="2830">
        <f t="shared" si="17"/>
        <v>0</v>
      </c>
      <c r="AE52" s="2324">
        <f t="shared" si="17"/>
        <v>0</v>
      </c>
      <c r="AF52" s="2317"/>
      <c r="AG52" s="748"/>
    </row>
    <row r="53" spans="1:36" s="791" customFormat="1" ht="18.95" customHeight="1" thickTop="1">
      <c r="A53" s="748"/>
      <c r="B53" s="748"/>
      <c r="C53" s="488"/>
      <c r="D53" s="488"/>
      <c r="E53" s="488"/>
      <c r="F53" s="488"/>
      <c r="G53" s="488"/>
      <c r="H53" s="488"/>
      <c r="I53" s="488"/>
      <c r="J53" s="488"/>
      <c r="K53" s="488"/>
      <c r="L53" s="488"/>
      <c r="M53" s="488"/>
      <c r="N53" s="488"/>
      <c r="O53" s="826"/>
      <c r="P53" s="748"/>
      <c r="R53" s="2328"/>
    </row>
    <row r="54" spans="1:36" s="791" customFormat="1" ht="18.95" customHeight="1">
      <c r="A54" s="2982" t="s">
        <v>783</v>
      </c>
      <c r="B54" s="748"/>
      <c r="C54" s="2985" t="str">
        <f>IF(C51&gt;=0,"",(C52/C51)*-1)</f>
        <v/>
      </c>
      <c r="D54" s="2985" t="str">
        <f t="shared" ref="D54:N54" si="18">IF(D51&gt;=0,"",(D52/D51)*-1)</f>
        <v/>
      </c>
      <c r="E54" s="2985" t="str">
        <f t="shared" si="18"/>
        <v/>
      </c>
      <c r="F54" s="2985" t="str">
        <f t="shared" si="18"/>
        <v/>
      </c>
      <c r="G54" s="2985" t="str">
        <f t="shared" si="18"/>
        <v/>
      </c>
      <c r="H54" s="2985" t="str">
        <f t="shared" si="18"/>
        <v/>
      </c>
      <c r="I54" s="2985" t="str">
        <f t="shared" si="18"/>
        <v/>
      </c>
      <c r="J54" s="2985" t="str">
        <f t="shared" si="18"/>
        <v/>
      </c>
      <c r="K54" s="2985" t="str">
        <f t="shared" si="18"/>
        <v/>
      </c>
      <c r="L54" s="2985" t="str">
        <f t="shared" si="18"/>
        <v/>
      </c>
      <c r="M54" s="2985" t="str">
        <f t="shared" si="18"/>
        <v/>
      </c>
      <c r="N54" s="2985" t="str">
        <f t="shared" si="18"/>
        <v/>
      </c>
      <c r="O54" s="826"/>
      <c r="P54" s="748"/>
      <c r="R54" s="2328"/>
      <c r="T54" s="2985" t="str">
        <f>IF(T51&gt;=0,"",(T52/T51)*-1)</f>
        <v/>
      </c>
      <c r="U54" s="2985" t="str">
        <f t="shared" ref="U54:AE54" si="19">IF(U51&gt;=0,"",(U52/U51)*-1)</f>
        <v/>
      </c>
      <c r="V54" s="2985" t="str">
        <f t="shared" si="19"/>
        <v/>
      </c>
      <c r="W54" s="2985" t="str">
        <f t="shared" si="19"/>
        <v/>
      </c>
      <c r="X54" s="2985" t="str">
        <f t="shared" si="19"/>
        <v/>
      </c>
      <c r="Y54" s="2985" t="str">
        <f t="shared" si="19"/>
        <v/>
      </c>
      <c r="Z54" s="2985" t="str">
        <f t="shared" si="19"/>
        <v/>
      </c>
      <c r="AA54" s="2985" t="str">
        <f t="shared" si="19"/>
        <v/>
      </c>
      <c r="AB54" s="2985" t="str">
        <f t="shared" si="19"/>
        <v/>
      </c>
      <c r="AC54" s="2985" t="str">
        <f t="shared" si="19"/>
        <v/>
      </c>
      <c r="AD54" s="2985" t="str">
        <f t="shared" si="19"/>
        <v/>
      </c>
      <c r="AE54" s="2985" t="str">
        <f t="shared" si="19"/>
        <v/>
      </c>
    </row>
    <row r="55" spans="1:36" s="791" customFormat="1" ht="18.95" customHeight="1">
      <c r="A55" s="2983"/>
      <c r="B55" s="748"/>
      <c r="C55" s="2984"/>
      <c r="D55" s="2984"/>
      <c r="E55" s="2984"/>
      <c r="F55" s="2984"/>
      <c r="G55" s="2984"/>
      <c r="H55" s="2984"/>
      <c r="I55" s="2984"/>
      <c r="J55" s="2984"/>
      <c r="K55" s="2984"/>
      <c r="L55" s="2984"/>
      <c r="M55" s="2984"/>
      <c r="N55" s="2984"/>
      <c r="O55" s="826"/>
      <c r="P55" s="748"/>
      <c r="R55" s="2328"/>
      <c r="T55" s="2984"/>
      <c r="U55" s="2984"/>
      <c r="V55" s="2984"/>
      <c r="W55" s="2984"/>
      <c r="X55" s="2984"/>
      <c r="Y55" s="2984"/>
      <c r="Z55" s="2984"/>
      <c r="AA55" s="2984"/>
      <c r="AB55" s="2984"/>
      <c r="AC55" s="2984"/>
      <c r="AD55" s="2984"/>
      <c r="AE55" s="2984"/>
    </row>
    <row r="56" spans="1:36" s="791" customFormat="1" ht="18.95" customHeight="1">
      <c r="A56" s="748"/>
      <c r="B56" s="748"/>
      <c r="C56" s="488"/>
      <c r="D56" s="488"/>
      <c r="E56" s="488"/>
      <c r="F56" s="488"/>
      <c r="G56" s="488"/>
      <c r="H56" s="488"/>
      <c r="I56" s="488"/>
      <c r="J56" s="488"/>
      <c r="K56" s="488"/>
      <c r="L56" s="488"/>
      <c r="M56" s="488"/>
      <c r="N56" s="488"/>
      <c r="O56" s="826"/>
      <c r="P56" s="748"/>
      <c r="R56" s="2328"/>
    </row>
    <row r="57" spans="1:36" s="791" customFormat="1" ht="18.95" hidden="1" customHeight="1">
      <c r="A57" s="2047" t="s">
        <v>784</v>
      </c>
      <c r="B57" s="2047"/>
      <c r="C57" s="488"/>
      <c r="D57" s="488"/>
      <c r="E57" s="488"/>
      <c r="F57" s="488"/>
      <c r="G57" s="488"/>
      <c r="H57" s="488"/>
      <c r="I57" s="488"/>
      <c r="J57" s="488"/>
      <c r="K57" s="488"/>
      <c r="L57" s="488"/>
      <c r="M57" s="488"/>
      <c r="N57" s="488"/>
      <c r="O57" s="826"/>
      <c r="P57" s="748"/>
      <c r="R57" s="2328"/>
    </row>
    <row r="58" spans="1:36" ht="17.25" hidden="1" thickBot="1">
      <c r="A58" s="729"/>
      <c r="B58" s="882"/>
      <c r="C58" s="845"/>
      <c r="D58" s="845"/>
      <c r="E58" s="845"/>
      <c r="F58" s="845"/>
      <c r="G58" s="845"/>
      <c r="H58" s="845"/>
      <c r="I58" s="845"/>
      <c r="J58" s="845"/>
      <c r="K58" s="845"/>
      <c r="L58" s="845"/>
      <c r="M58" s="845"/>
      <c r="N58" s="845"/>
      <c r="O58" s="748"/>
      <c r="P58" s="845"/>
    </row>
    <row r="59" spans="1:36" ht="25.5" hidden="1" customHeight="1" thickTop="1">
      <c r="A59" s="3757" t="s">
        <v>394</v>
      </c>
      <c r="B59" s="2864"/>
      <c r="C59" s="3763" t="s">
        <v>156</v>
      </c>
      <c r="D59" s="3764"/>
      <c r="E59" s="3756">
        <f>Acreedores_CP_Financieros</f>
        <v>0</v>
      </c>
      <c r="F59" s="3756"/>
      <c r="G59" s="3755" t="s">
        <v>193</v>
      </c>
      <c r="H59" s="3755"/>
      <c r="I59" s="2296">
        <v>0.06</v>
      </c>
      <c r="J59" s="845"/>
      <c r="K59" s="845"/>
      <c r="L59" s="845"/>
      <c r="M59" s="845"/>
      <c r="N59" s="845"/>
      <c r="O59" s="748"/>
      <c r="P59" s="845"/>
      <c r="T59" s="3765" t="s">
        <v>156</v>
      </c>
      <c r="U59" s="3766"/>
      <c r="V59" s="3767">
        <f>Acreedores_CP_Financieros*0+(O62-O63)</f>
        <v>0</v>
      </c>
      <c r="W59" s="3767"/>
      <c r="X59" s="3768" t="s">
        <v>193</v>
      </c>
      <c r="Y59" s="3768"/>
      <c r="Z59" s="2296">
        <f>I59</f>
        <v>0.06</v>
      </c>
      <c r="AA59" s="845"/>
      <c r="AB59" s="845"/>
      <c r="AC59" s="845"/>
      <c r="AD59" s="845"/>
      <c r="AE59" s="845"/>
      <c r="AF59" s="748"/>
    </row>
    <row r="60" spans="1:36" ht="26.25" hidden="1" customHeight="1" thickBot="1">
      <c r="A60" s="3758"/>
      <c r="B60" s="2864"/>
      <c r="C60" s="3761" t="s">
        <v>416</v>
      </c>
      <c r="D60" s="3762"/>
      <c r="E60" s="3760"/>
      <c r="F60" s="3760"/>
      <c r="G60" s="3754" t="s">
        <v>148</v>
      </c>
      <c r="H60" s="3754"/>
      <c r="I60" s="2297">
        <v>1.5E-3</v>
      </c>
      <c r="J60" s="845"/>
      <c r="K60" s="845"/>
      <c r="L60" s="845"/>
      <c r="M60" s="854"/>
      <c r="O60" s="394"/>
      <c r="T60" s="3769" t="s">
        <v>416</v>
      </c>
      <c r="U60" s="3770"/>
      <c r="V60" s="3760">
        <f>(E59+E60-V59)</f>
        <v>0</v>
      </c>
      <c r="W60" s="3760"/>
      <c r="X60" s="3771" t="s">
        <v>148</v>
      </c>
      <c r="Y60" s="3771"/>
      <c r="Z60" s="2297">
        <f>I60</f>
        <v>1.5E-3</v>
      </c>
      <c r="AA60" s="845"/>
      <c r="AB60" s="845"/>
      <c r="AC60" s="845"/>
      <c r="AD60" s="854"/>
    </row>
    <row r="61" spans="1:36" ht="21" hidden="1" customHeight="1" thickTop="1" thickBot="1">
      <c r="A61" s="3759"/>
      <c r="B61" s="2864"/>
      <c r="C61" s="2860" t="str">
        <f>'6. P y G (Ej 1º,2º)'!$C$9</f>
        <v>Enero</v>
      </c>
      <c r="D61" s="2854" t="str">
        <f>'6. P y G (Ej 1º,2º)'!$D$9</f>
        <v>Febrero</v>
      </c>
      <c r="E61" s="2854" t="str">
        <f>'6. P y G (Ej 1º,2º)'!$E$9</f>
        <v>Marzo</v>
      </c>
      <c r="F61" s="2854" t="str">
        <f>'6. P y G (Ej 1º,2º)'!$F$9</f>
        <v>Abril</v>
      </c>
      <c r="G61" s="2854" t="str">
        <f>'6. P y G (Ej 1º,2º)'!$G$9</f>
        <v>Mayo</v>
      </c>
      <c r="H61" s="2854" t="str">
        <f>'6. P y G (Ej 1º,2º)'!$H$9</f>
        <v>Junio</v>
      </c>
      <c r="I61" s="2854" t="str">
        <f>'6. P y G (Ej 1º,2º)'!$I$9</f>
        <v>Julio</v>
      </c>
      <c r="J61" s="2714" t="str">
        <f>'6. P y G (Ej 1º,2º)'!$J$9</f>
        <v>Agosto</v>
      </c>
      <c r="K61" s="2714" t="str">
        <f>'6. P y G (Ej 1º,2º)'!$K$9</f>
        <v>Septiembre</v>
      </c>
      <c r="L61" s="2714" t="str">
        <f>'6. P y G (Ej 1º,2º)'!$L$9</f>
        <v>Octubre</v>
      </c>
      <c r="M61" s="2714" t="str">
        <f>'6. P y G (Ej 1º,2º)'!$M$9</f>
        <v>Noviembre</v>
      </c>
      <c r="N61" s="2818" t="str">
        <f>'6. P y G (Ej 1º,2º)'!$N$9</f>
        <v>Diciembre</v>
      </c>
      <c r="O61" s="2298" t="s">
        <v>52</v>
      </c>
      <c r="P61" s="845"/>
      <c r="T61" s="2846" t="str">
        <f>'6. P y G (Ej 1º,2º)'!$C$9</f>
        <v>Enero</v>
      </c>
      <c r="U61" s="2854" t="str">
        <f>'6. P y G (Ej 1º,2º)'!$D$9</f>
        <v>Febrero</v>
      </c>
      <c r="V61" s="2854" t="str">
        <f>'6. P y G (Ej 1º,2º)'!$E$9</f>
        <v>Marzo</v>
      </c>
      <c r="W61" s="2854" t="str">
        <f>'6. P y G (Ej 1º,2º)'!$F$9</f>
        <v>Abril</v>
      </c>
      <c r="X61" s="2854" t="str">
        <f>'6. P y G (Ej 1º,2º)'!$G$9</f>
        <v>Mayo</v>
      </c>
      <c r="Y61" s="2854" t="str">
        <f>'6. P y G (Ej 1º,2º)'!$H$9</f>
        <v>Junio</v>
      </c>
      <c r="Z61" s="2854" t="str">
        <f>'6. P y G (Ej 1º,2º)'!$I$9</f>
        <v>Julio</v>
      </c>
      <c r="AA61" s="2714" t="str">
        <f>'6. P y G (Ej 1º,2º)'!$J$9</f>
        <v>Agosto</v>
      </c>
      <c r="AB61" s="2714" t="str">
        <f>'6. P y G (Ej 1º,2º)'!$K$9</f>
        <v>Septiembre</v>
      </c>
      <c r="AC61" s="2714" t="str">
        <f>'6. P y G (Ej 1º,2º)'!$L$9</f>
        <v>Octubre</v>
      </c>
      <c r="AD61" s="2714" t="str">
        <f>'6. P y G (Ej 1º,2º)'!$M$9</f>
        <v>Noviembre</v>
      </c>
      <c r="AE61" s="2818" t="str">
        <f>'6. P y G (Ej 1º,2º)'!$N$9</f>
        <v>Diciembre</v>
      </c>
      <c r="AF61" s="2298" t="s">
        <v>52</v>
      </c>
    </row>
    <row r="62" spans="1:36" ht="18.95" hidden="1" customHeight="1">
      <c r="A62" s="855" t="s">
        <v>153</v>
      </c>
      <c r="B62" s="2869"/>
      <c r="C62" s="2861"/>
      <c r="D62" s="2855"/>
      <c r="E62" s="2855"/>
      <c r="F62" s="2855"/>
      <c r="G62" s="2855"/>
      <c r="H62" s="2855"/>
      <c r="I62" s="2855"/>
      <c r="J62" s="2855"/>
      <c r="K62" s="2855"/>
      <c r="L62" s="2855"/>
      <c r="M62" s="2855"/>
      <c r="N62" s="2851"/>
      <c r="O62" s="856">
        <f>SUM(C62:N62)+E59</f>
        <v>0</v>
      </c>
      <c r="P62" s="845"/>
      <c r="T62" s="2847"/>
      <c r="U62" s="2855"/>
      <c r="V62" s="2855"/>
      <c r="W62" s="2855"/>
      <c r="X62" s="2855"/>
      <c r="Y62" s="2855"/>
      <c r="Z62" s="2855"/>
      <c r="AA62" s="2855"/>
      <c r="AB62" s="2855"/>
      <c r="AC62" s="2855"/>
      <c r="AD62" s="2855"/>
      <c r="AE62" s="2851"/>
      <c r="AF62" s="856">
        <f>SUM(T62:AE62)+(O62-O63)</f>
        <v>0</v>
      </c>
    </row>
    <row r="63" spans="1:36" ht="18.95" hidden="1" customHeight="1">
      <c r="A63" s="857" t="s">
        <v>152</v>
      </c>
      <c r="B63" s="2869"/>
      <c r="C63" s="2862"/>
      <c r="D63" s="2856"/>
      <c r="E63" s="2856"/>
      <c r="F63" s="2856"/>
      <c r="G63" s="2856"/>
      <c r="H63" s="2856"/>
      <c r="I63" s="2856"/>
      <c r="J63" s="2856"/>
      <c r="K63" s="2856"/>
      <c r="L63" s="2856"/>
      <c r="M63" s="2856"/>
      <c r="N63" s="2852"/>
      <c r="O63" s="858">
        <f>SUM(C63:N63)</f>
        <v>0</v>
      </c>
      <c r="P63" s="845"/>
      <c r="T63" s="2848"/>
      <c r="U63" s="2856"/>
      <c r="V63" s="2856"/>
      <c r="W63" s="2856"/>
      <c r="X63" s="2856"/>
      <c r="Y63" s="2856"/>
      <c r="Z63" s="2856"/>
      <c r="AA63" s="2856"/>
      <c r="AB63" s="2856"/>
      <c r="AC63" s="2856"/>
      <c r="AD63" s="2856"/>
      <c r="AE63" s="2852"/>
      <c r="AF63" s="858">
        <f>SUM(T63:AE63)</f>
        <v>0</v>
      </c>
    </row>
    <row r="64" spans="1:36" ht="18.95" hidden="1" customHeight="1">
      <c r="A64" s="857" t="s">
        <v>154</v>
      </c>
      <c r="B64" s="2869"/>
      <c r="C64" s="859">
        <f>(E59+'8. Tesorería (Ej 1º,2º)'!C62-'8. Tesorería (Ej 1º,2º)'!C63)</f>
        <v>0</v>
      </c>
      <c r="D64" s="2857">
        <f>C64+D62-D63</f>
        <v>0</v>
      </c>
      <c r="E64" s="2857">
        <f t="shared" ref="E64:N64" si="20">D64+E62-E63</f>
        <v>0</v>
      </c>
      <c r="F64" s="2857">
        <f t="shared" si="20"/>
        <v>0</v>
      </c>
      <c r="G64" s="2857">
        <f t="shared" si="20"/>
        <v>0</v>
      </c>
      <c r="H64" s="2857">
        <f t="shared" si="20"/>
        <v>0</v>
      </c>
      <c r="I64" s="2857">
        <f t="shared" si="20"/>
        <v>0</v>
      </c>
      <c r="J64" s="2857">
        <f t="shared" si="20"/>
        <v>0</v>
      </c>
      <c r="K64" s="2857">
        <f t="shared" si="20"/>
        <v>0</v>
      </c>
      <c r="L64" s="2857">
        <f t="shared" si="20"/>
        <v>0</v>
      </c>
      <c r="M64" s="2857">
        <f t="shared" si="20"/>
        <v>0</v>
      </c>
      <c r="N64" s="2853">
        <f t="shared" si="20"/>
        <v>0</v>
      </c>
      <c r="O64" s="2859"/>
      <c r="P64" s="845"/>
      <c r="T64" s="2849">
        <f>N64+T62-T63</f>
        <v>0</v>
      </c>
      <c r="U64" s="2857">
        <f t="shared" ref="U64:AE64" si="21">T64+U62-U63</f>
        <v>0</v>
      </c>
      <c r="V64" s="2857">
        <f t="shared" si="21"/>
        <v>0</v>
      </c>
      <c r="W64" s="2857">
        <f t="shared" si="21"/>
        <v>0</v>
      </c>
      <c r="X64" s="2857">
        <f t="shared" si="21"/>
        <v>0</v>
      </c>
      <c r="Y64" s="2857">
        <f t="shared" si="21"/>
        <v>0</v>
      </c>
      <c r="Z64" s="2857">
        <f t="shared" si="21"/>
        <v>0</v>
      </c>
      <c r="AA64" s="2857">
        <f t="shared" si="21"/>
        <v>0</v>
      </c>
      <c r="AB64" s="2857">
        <f t="shared" si="21"/>
        <v>0</v>
      </c>
      <c r="AC64" s="2857">
        <f t="shared" si="21"/>
        <v>0</v>
      </c>
      <c r="AD64" s="2857">
        <f t="shared" si="21"/>
        <v>0</v>
      </c>
      <c r="AE64" s="2853">
        <f t="shared" si="21"/>
        <v>0</v>
      </c>
      <c r="AF64" s="860"/>
    </row>
    <row r="65" spans="1:32" ht="18.95" hidden="1" customHeight="1" thickBot="1">
      <c r="A65" s="2897" t="s">
        <v>210</v>
      </c>
      <c r="B65" s="748"/>
      <c r="C65" s="2898">
        <f>IF(($E$59+$E$60)=0,0,C64*$I$59*(31/365))</f>
        <v>0</v>
      </c>
      <c r="D65" s="2858">
        <f>IF(($E$59+$E$60)=0,0,D64*$I$59*(31/365))</f>
        <v>0</v>
      </c>
      <c r="E65" s="2858">
        <f>IF(($E$60+$E$59)=0,0,E64*$I$59*(31/365))+(3*($E$60+$E$59)-SUM(C62:E62))*($I$60)</f>
        <v>0</v>
      </c>
      <c r="F65" s="2858">
        <f>IF(($E$59+$E$60)=0,0,F64*$I$59*(31/365))</f>
        <v>0</v>
      </c>
      <c r="G65" s="2858">
        <f>IF(($E$59+$E$60)=0,0,G64*$I$59*(31/365))</f>
        <v>0</v>
      </c>
      <c r="H65" s="2858">
        <f>IF(($E$60+$E$59)=0,0,H64*$I$59*(31/365))+(3*($E$60+$E$59)-SUM(F62:H62))*($I$60)</f>
        <v>0</v>
      </c>
      <c r="I65" s="2858">
        <f>IF(($E$59+$E$60)=0,0,I64*$I$59*(31/365))</f>
        <v>0</v>
      </c>
      <c r="J65" s="2858">
        <f>IF(($E$59+$E$60)=0,0,J64*$I$59*(31/365))</f>
        <v>0</v>
      </c>
      <c r="K65" s="2858">
        <f>IF(($E$60+$E$59)=0,0,K64*$I$59*(31/365))+(3*($E$60+$E$59)-SUM(I62:K62))*($I$60)</f>
        <v>0</v>
      </c>
      <c r="L65" s="2858">
        <f>IF(($E$59+$E$60)=0,0,L64*$I$59*(31/365))</f>
        <v>0</v>
      </c>
      <c r="M65" s="2858">
        <f>IF(($E$59+$E$60)=0,0,M64*$I$59*(31/365))</f>
        <v>0</v>
      </c>
      <c r="N65" s="861">
        <f>IF(($E$60+$E$59)=0,0,N64*$I$59*(31/365))+(3*($E$60+$E$59)-SUM(L62:N62))*($I$60)</f>
        <v>0</v>
      </c>
      <c r="O65" s="862">
        <f>SUM(C65:N65)</f>
        <v>0</v>
      </c>
      <c r="P65" s="845"/>
      <c r="T65" s="2850">
        <f>IF(($V$59+$V$60)=0,0,T64*$Z$59*(31/365))</f>
        <v>0</v>
      </c>
      <c r="U65" s="2858">
        <f>IF(($V$59+$V$60)=0,0,U64*$Z$59*(31/365))</f>
        <v>0</v>
      </c>
      <c r="V65" s="2858">
        <f>IF(($V$60+$V$59)=0,0,V64*$Z$59*(31/365))+(3*($V$60+$V$59)-SUM(T62:V62))*($Z$60)</f>
        <v>0</v>
      </c>
      <c r="W65" s="2858">
        <f>IF(($V$59+$V$60)=0,0,W64*$Z$59*(31/365))</f>
        <v>0</v>
      </c>
      <c r="X65" s="2858">
        <f>IF(($V$59+$V$60)=0,0,X64*$Z$59*(31/365))</f>
        <v>0</v>
      </c>
      <c r="Y65" s="2858">
        <f>IF(($V$60+$V$59)=0,0,Y64*$Z$59*(31/365))+(3*($V$60+$V$59)-SUM(W62:Y62))*($Z$60)</f>
        <v>0</v>
      </c>
      <c r="Z65" s="2858">
        <f>IF(($V$59+$V$60)=0,0,Z64*$Z$59*(31/365))</f>
        <v>0</v>
      </c>
      <c r="AA65" s="2858">
        <f>IF(($V$59+$V$60)=0,0,AA64*$Z$59*(31/365))</f>
        <v>0</v>
      </c>
      <c r="AB65" s="2858">
        <f>IF(($V$60+$V$59)=0,0,AB64*$Z$59*(31/365))+(3*($V$60+$V$59)-SUM(Z62:AB62))*($Z$60)</f>
        <v>0</v>
      </c>
      <c r="AC65" s="2858">
        <f>IF(($V$59+$V$60)=0,0,AC64*$Z$59*(31/365))</f>
        <v>0</v>
      </c>
      <c r="AD65" s="2858">
        <f>IF(($V$59+$V$60)=0,0,AD64*$Z$59*(31/365))</f>
        <v>0</v>
      </c>
      <c r="AE65" s="861">
        <f>IF(($V$60+$V$59)=0,0,AE64*$Z$59*(31/365))+(3*($V$60+$V$59)-SUM(AC62:AE62))*($Z$60)</f>
        <v>0</v>
      </c>
      <c r="AF65" s="862">
        <f>SUM(T65:AE65)</f>
        <v>0</v>
      </c>
    </row>
    <row r="66" spans="1:32" ht="17.25" hidden="1" thickTop="1">
      <c r="A66" s="845"/>
      <c r="B66" s="845"/>
      <c r="C66" s="845"/>
      <c r="D66" s="845"/>
      <c r="E66" s="845"/>
      <c r="F66" s="845"/>
      <c r="G66" s="845"/>
      <c r="H66" s="845"/>
      <c r="I66" s="845"/>
      <c r="J66" s="845"/>
      <c r="K66" s="845"/>
      <c r="L66" s="845"/>
      <c r="M66" s="845"/>
      <c r="N66" s="845"/>
      <c r="O66" s="748"/>
      <c r="P66" s="845"/>
    </row>
    <row r="67" spans="1:32">
      <c r="A67" s="863"/>
      <c r="B67" s="863"/>
      <c r="C67" s="845"/>
      <c r="D67" s="845"/>
      <c r="E67" s="845"/>
      <c r="F67" s="845"/>
      <c r="G67" s="845"/>
      <c r="H67" s="845"/>
      <c r="I67" s="845"/>
      <c r="J67" s="845"/>
      <c r="K67" s="845"/>
      <c r="L67" s="845"/>
      <c r="M67" s="845"/>
      <c r="N67" s="845"/>
      <c r="O67" s="748"/>
      <c r="P67" s="845"/>
    </row>
    <row r="68" spans="1:32">
      <c r="A68" s="845"/>
      <c r="B68" s="845"/>
      <c r="C68" s="845"/>
      <c r="D68" s="845"/>
      <c r="E68" s="845"/>
      <c r="F68" s="845"/>
      <c r="G68" s="845"/>
      <c r="H68" s="845"/>
      <c r="I68" s="845"/>
      <c r="J68" s="845"/>
      <c r="K68" s="845"/>
      <c r="L68" s="845"/>
      <c r="M68" s="845"/>
      <c r="N68" s="845"/>
      <c r="O68" s="748"/>
      <c r="P68" s="845"/>
    </row>
    <row r="69" spans="1:32">
      <c r="A69" s="729"/>
      <c r="B69" s="882"/>
      <c r="C69" s="845"/>
      <c r="D69" s="845"/>
      <c r="E69" s="845"/>
      <c r="F69" s="845"/>
      <c r="G69" s="845"/>
      <c r="H69" s="845"/>
      <c r="I69" s="845"/>
      <c r="J69" s="845"/>
      <c r="K69" s="845"/>
      <c r="L69" s="845"/>
      <c r="M69" s="845"/>
      <c r="N69" s="845"/>
      <c r="O69" s="748"/>
      <c r="P69" s="845"/>
    </row>
    <row r="70" spans="1:32">
      <c r="A70" s="729"/>
      <c r="B70" s="882"/>
      <c r="C70" s="845"/>
      <c r="D70" s="845"/>
      <c r="E70" s="845"/>
      <c r="F70" s="845"/>
      <c r="G70" s="845"/>
      <c r="H70" s="845"/>
      <c r="I70" s="845"/>
      <c r="J70" s="845"/>
      <c r="K70" s="845"/>
      <c r="L70" s="845"/>
      <c r="M70" s="845"/>
      <c r="N70" s="845"/>
      <c r="O70" s="748"/>
      <c r="P70" s="845"/>
    </row>
    <row r="71" spans="1:32">
      <c r="A71" s="729"/>
      <c r="B71" s="882"/>
      <c r="C71" s="845"/>
      <c r="D71" s="845"/>
      <c r="E71" s="845"/>
      <c r="F71" s="845"/>
      <c r="G71" s="845"/>
      <c r="H71" s="845"/>
      <c r="I71" s="845"/>
      <c r="J71" s="845"/>
      <c r="K71" s="845"/>
      <c r="L71" s="845"/>
      <c r="M71" s="845"/>
      <c r="N71" s="845"/>
      <c r="O71" s="748"/>
      <c r="P71" s="845"/>
    </row>
    <row r="72" spans="1:32">
      <c r="A72" s="729"/>
      <c r="B72" s="882"/>
      <c r="C72" s="845"/>
      <c r="D72" s="845"/>
      <c r="E72" s="845"/>
      <c r="F72" s="845"/>
      <c r="G72" s="845"/>
      <c r="H72" s="845"/>
      <c r="I72" s="845"/>
      <c r="J72" s="845"/>
      <c r="K72" s="845"/>
      <c r="L72" s="845"/>
      <c r="M72" s="845"/>
      <c r="N72" s="845"/>
      <c r="O72" s="748"/>
      <c r="P72" s="845"/>
    </row>
    <row r="73" spans="1:32">
      <c r="A73" s="729"/>
      <c r="B73" s="882"/>
      <c r="C73" s="845"/>
      <c r="D73" s="845"/>
      <c r="E73" s="845"/>
      <c r="F73" s="845"/>
      <c r="G73" s="845"/>
      <c r="H73" s="845"/>
      <c r="I73" s="845"/>
      <c r="J73" s="845"/>
      <c r="K73" s="845"/>
      <c r="L73" s="845"/>
      <c r="M73" s="845"/>
      <c r="N73" s="845"/>
      <c r="O73" s="748"/>
      <c r="P73" s="845"/>
    </row>
    <row r="74" spans="1:32">
      <c r="A74" s="314"/>
      <c r="B74" s="881"/>
    </row>
    <row r="75" spans="1:32">
      <c r="A75" s="314"/>
      <c r="B75" s="881"/>
    </row>
    <row r="76" spans="1:32">
      <c r="A76" s="314"/>
      <c r="B76" s="881"/>
    </row>
    <row r="77" spans="1:32">
      <c r="A77" s="314"/>
      <c r="B77" s="881"/>
    </row>
    <row r="78" spans="1:32">
      <c r="A78" s="314"/>
      <c r="B78" s="881"/>
    </row>
    <row r="79" spans="1:32">
      <c r="A79" s="314"/>
      <c r="B79" s="881"/>
    </row>
    <row r="80" spans="1:32">
      <c r="A80" s="314"/>
      <c r="B80" s="881"/>
    </row>
    <row r="81" spans="1:2">
      <c r="A81" s="314"/>
      <c r="B81" s="881"/>
    </row>
    <row r="82" spans="1:2">
      <c r="A82" s="314"/>
      <c r="B82" s="881"/>
    </row>
    <row r="83" spans="1:2">
      <c r="A83" s="314"/>
      <c r="B83" s="881"/>
    </row>
    <row r="84" spans="1:2">
      <c r="A84" s="314"/>
      <c r="B84" s="881"/>
    </row>
  </sheetData>
  <sheetProtection sheet="1" formatColumns="0" formatRows="0"/>
  <mergeCells count="21">
    <mergeCell ref="T3:AE3"/>
    <mergeCell ref="T4:AE4"/>
    <mergeCell ref="U9:X9"/>
    <mergeCell ref="AA9:AD9"/>
    <mergeCell ref="D9:G9"/>
    <mergeCell ref="J9:M9"/>
    <mergeCell ref="B3:N3"/>
    <mergeCell ref="B4:N4"/>
    <mergeCell ref="T59:U59"/>
    <mergeCell ref="V59:W59"/>
    <mergeCell ref="X59:Y59"/>
    <mergeCell ref="T60:U60"/>
    <mergeCell ref="V60:W60"/>
    <mergeCell ref="X60:Y60"/>
    <mergeCell ref="G60:H60"/>
    <mergeCell ref="G59:H59"/>
    <mergeCell ref="E59:F59"/>
    <mergeCell ref="A59:A61"/>
    <mergeCell ref="E60:F60"/>
    <mergeCell ref="C60:D60"/>
    <mergeCell ref="C59:D59"/>
  </mergeCells>
  <phoneticPr fontId="9" type="noConversion"/>
  <conditionalFormatting sqref="D64">
    <cfRule type="cellIs" dxfId="113" priority="37" stopIfTrue="1" operator="greaterThan">
      <formula>$E$60+E59</formula>
    </cfRule>
    <cfRule type="cellIs" dxfId="112" priority="38" stopIfTrue="1" operator="lessThan">
      <formula>0</formula>
    </cfRule>
  </conditionalFormatting>
  <conditionalFormatting sqref="E64">
    <cfRule type="cellIs" dxfId="111" priority="39" stopIfTrue="1" operator="greaterThan">
      <formula>$E$60+E59</formula>
    </cfRule>
    <cfRule type="cellIs" dxfId="110" priority="40" stopIfTrue="1" operator="lessThan">
      <formula>0</formula>
    </cfRule>
  </conditionalFormatting>
  <conditionalFormatting sqref="F64">
    <cfRule type="cellIs" dxfId="109" priority="41" stopIfTrue="1" operator="greaterThan">
      <formula>$E$60+E59</formula>
    </cfRule>
    <cfRule type="cellIs" dxfId="108" priority="42" stopIfTrue="1" operator="lessThan">
      <formula>0</formula>
    </cfRule>
  </conditionalFormatting>
  <conditionalFormatting sqref="G64">
    <cfRule type="cellIs" dxfId="107" priority="43" stopIfTrue="1" operator="greaterThan">
      <formula>$E$60+E59</formula>
    </cfRule>
    <cfRule type="cellIs" dxfId="106" priority="44" stopIfTrue="1" operator="lessThan">
      <formula>0</formula>
    </cfRule>
  </conditionalFormatting>
  <conditionalFormatting sqref="H64">
    <cfRule type="cellIs" dxfId="105" priority="45" stopIfTrue="1" operator="greaterThan">
      <formula>$E$60+E59</formula>
    </cfRule>
    <cfRule type="cellIs" dxfId="104" priority="46" stopIfTrue="1" operator="lessThan">
      <formula>0</formula>
    </cfRule>
  </conditionalFormatting>
  <conditionalFormatting sqref="I64">
    <cfRule type="cellIs" dxfId="103" priority="47" stopIfTrue="1" operator="greaterThan">
      <formula>$E$60+E59</formula>
    </cfRule>
    <cfRule type="cellIs" dxfId="102" priority="48" stopIfTrue="1" operator="lessThan">
      <formula>0</formula>
    </cfRule>
  </conditionalFormatting>
  <conditionalFormatting sqref="J64">
    <cfRule type="cellIs" dxfId="101" priority="49" stopIfTrue="1" operator="greaterThan">
      <formula>$E$60+E59</formula>
    </cfRule>
    <cfRule type="cellIs" dxfId="100" priority="50" stopIfTrue="1" operator="lessThan">
      <formula>0</formula>
    </cfRule>
  </conditionalFormatting>
  <conditionalFormatting sqref="K64">
    <cfRule type="cellIs" dxfId="99" priority="51" stopIfTrue="1" operator="greaterThan">
      <formula>$E$60+E59</formula>
    </cfRule>
    <cfRule type="cellIs" dxfId="98" priority="52" stopIfTrue="1" operator="lessThan">
      <formula>0</formula>
    </cfRule>
  </conditionalFormatting>
  <conditionalFormatting sqref="L64">
    <cfRule type="cellIs" dxfId="97" priority="53" stopIfTrue="1" operator="greaterThan">
      <formula>$E$60+E59</formula>
    </cfRule>
    <cfRule type="cellIs" dxfId="96" priority="54" stopIfTrue="1" operator="lessThan">
      <formula>0</formula>
    </cfRule>
  </conditionalFormatting>
  <conditionalFormatting sqref="M64">
    <cfRule type="cellIs" dxfId="95" priority="55" stopIfTrue="1" operator="greaterThan">
      <formula>$E$60+E59</formula>
    </cfRule>
    <cfRule type="cellIs" dxfId="94" priority="56" stopIfTrue="1" operator="lessThan">
      <formula>0</formula>
    </cfRule>
  </conditionalFormatting>
  <conditionalFormatting sqref="N64">
    <cfRule type="cellIs" dxfId="93" priority="57" stopIfTrue="1" operator="greaterThan">
      <formula>$E$60+E59</formula>
    </cfRule>
    <cfRule type="cellIs" dxfId="92" priority="58" stopIfTrue="1" operator="lessThan">
      <formula>0</formula>
    </cfRule>
  </conditionalFormatting>
  <conditionalFormatting sqref="C64">
    <cfRule type="cellIs" dxfId="91" priority="61" stopIfTrue="1" operator="greaterThan">
      <formula>$E$60+$E$59</formula>
    </cfRule>
    <cfRule type="cellIs" dxfId="90" priority="62" stopIfTrue="1" operator="lessThan">
      <formula>0</formula>
    </cfRule>
  </conditionalFormatting>
  <conditionalFormatting sqref="H8:H9 L8 N9 Y8:Y9 AB8 AE9">
    <cfRule type="cellIs" dxfId="89" priority="63" stopIfTrue="1" operator="notEqual">
      <formula>0</formula>
    </cfRule>
  </conditionalFormatting>
  <conditionalFormatting sqref="Q43">
    <cfRule type="cellIs" dxfId="88" priority="64" stopIfTrue="1" operator="equal">
      <formula>"error"</formula>
    </cfRule>
  </conditionalFormatting>
  <conditionalFormatting sqref="U64">
    <cfRule type="cellIs" dxfId="87" priority="7" stopIfTrue="1" operator="greaterThan">
      <formula>$V$60+V59</formula>
    </cfRule>
    <cfRule type="cellIs" dxfId="86" priority="8" stopIfTrue="1" operator="lessThan">
      <formula>0</formula>
    </cfRule>
  </conditionalFormatting>
  <conditionalFormatting sqref="V64">
    <cfRule type="cellIs" dxfId="85" priority="9" stopIfTrue="1" operator="greaterThan">
      <formula>$V$60+V59</formula>
    </cfRule>
    <cfRule type="cellIs" dxfId="84" priority="10" stopIfTrue="1" operator="lessThan">
      <formula>0</formula>
    </cfRule>
  </conditionalFormatting>
  <conditionalFormatting sqref="W64">
    <cfRule type="cellIs" dxfId="83" priority="11" stopIfTrue="1" operator="greaterThan">
      <formula>$V$60+V59</formula>
    </cfRule>
    <cfRule type="cellIs" dxfId="82" priority="12" stopIfTrue="1" operator="lessThan">
      <formula>0</formula>
    </cfRule>
  </conditionalFormatting>
  <conditionalFormatting sqref="X64">
    <cfRule type="cellIs" dxfId="81" priority="13" stopIfTrue="1" operator="greaterThan">
      <formula>$V$60+V59</formula>
    </cfRule>
    <cfRule type="cellIs" dxfId="80" priority="14" stopIfTrue="1" operator="lessThan">
      <formula>0</formula>
    </cfRule>
  </conditionalFormatting>
  <conditionalFormatting sqref="Y64">
    <cfRule type="cellIs" dxfId="79" priority="15" stopIfTrue="1" operator="greaterThan">
      <formula>$V$60+V59</formula>
    </cfRule>
    <cfRule type="cellIs" dxfId="78" priority="16" stopIfTrue="1" operator="lessThan">
      <formula>0</formula>
    </cfRule>
  </conditionalFormatting>
  <conditionalFormatting sqref="Z64">
    <cfRule type="cellIs" dxfId="77" priority="17" stopIfTrue="1" operator="greaterThan">
      <formula>$V$60+V59</formula>
    </cfRule>
    <cfRule type="cellIs" dxfId="76" priority="18" stopIfTrue="1" operator="lessThan">
      <formula>0</formula>
    </cfRule>
  </conditionalFormatting>
  <conditionalFormatting sqref="AA64">
    <cfRule type="cellIs" dxfId="75" priority="19" stopIfTrue="1" operator="greaterThan">
      <formula>$V$60+V59</formula>
    </cfRule>
    <cfRule type="cellIs" dxfId="74" priority="20" stopIfTrue="1" operator="lessThan">
      <formula>0</formula>
    </cfRule>
  </conditionalFormatting>
  <conditionalFormatting sqref="AB64">
    <cfRule type="cellIs" dxfId="73" priority="21" stopIfTrue="1" operator="greaterThan">
      <formula>$V$60+V59</formula>
    </cfRule>
    <cfRule type="cellIs" dxfId="72" priority="22" stopIfTrue="1" operator="lessThan">
      <formula>0</formula>
    </cfRule>
  </conditionalFormatting>
  <conditionalFormatting sqref="AC64">
    <cfRule type="cellIs" dxfId="71" priority="23" stopIfTrue="1" operator="greaterThan">
      <formula>$V$60+V59</formula>
    </cfRule>
    <cfRule type="cellIs" dxfId="70" priority="24" stopIfTrue="1" operator="lessThan">
      <formula>0</formula>
    </cfRule>
  </conditionalFormatting>
  <conditionalFormatting sqref="AD64">
    <cfRule type="cellIs" dxfId="69" priority="25" stopIfTrue="1" operator="greaterThan">
      <formula>$V$60+V59</formula>
    </cfRule>
    <cfRule type="cellIs" dxfId="68" priority="26" stopIfTrue="1" operator="lessThan">
      <formula>0</formula>
    </cfRule>
  </conditionalFormatting>
  <conditionalFormatting sqref="AE64">
    <cfRule type="cellIs" dxfId="67" priority="27" stopIfTrue="1" operator="greaterThan">
      <formula>$V$60+V59</formula>
    </cfRule>
    <cfRule type="cellIs" dxfId="66" priority="28" stopIfTrue="1" operator="lessThan">
      <formula>0</formula>
    </cfRule>
  </conditionalFormatting>
  <conditionalFormatting sqref="T64">
    <cfRule type="cellIs" dxfId="65" priority="5" stopIfTrue="1" operator="greaterThan">
      <formula>$V$60+V59</formula>
    </cfRule>
    <cfRule type="cellIs" dxfId="64" priority="6" stopIfTrue="1" operator="lessThan">
      <formula>0</formula>
    </cfRule>
  </conditionalFormatting>
  <dataValidations count="2">
    <dataValidation type="decimal" operator="greaterThanOrEqual" allowBlank="1" showInputMessage="1" error="Solo valores mayores o iguales a cero." sqref="A58:B65541 D54:N65541 AG42:AG52 P42:P65541 F6:O6 F8 A6:B6 A8:B8 H5 C6:E8 C9:D9 H8:J8 M7:O7 I7 J9 L8:M8 AC7:AG7 A10:B56 T11:AF52 Q1:S1048576 AH1:IW1048576 P6:P39 AG11:AG39 T9:U9 Y5 T10:AG10 T6:AG6 T8:AG8 T7:X7 Y9:AA9 AE9:AG9 Z7:AA7 C10:C65541 D10:G53 H9:I53 O8:O65541 N8:N53 J10:M53 T53:AG65541">
      <formula1>0</formula1>
    </dataValidation>
    <dataValidation allowBlank="1" showInputMessage="1" sqref="A9:B9 B3:B4 A7:B7 T3:T4 C5"/>
  </dataValidations>
  <printOptions horizontalCentered="1" verticalCentered="1"/>
  <pageMargins left="0.56999999999999995" right="0.19685039370078741" top="0.39370078740157483" bottom="0.39370078740157483" header="0.11811023622047245" footer="0.11811023622047245"/>
  <pageSetup paperSize="9" scale="41" orientation="landscape" horizontalDpi="300" verticalDpi="300" r:id="rId1"/>
  <headerFooter alignWithMargins="0">
    <oddFooter>&amp;A</oddFooter>
  </headerFooter>
  <rowBreaks count="1" manualBreakCount="1">
    <brk id="54" max="33" man="1"/>
  </rowBreaks>
  <colBreaks count="1" manualBreakCount="1">
    <brk id="18" max="53"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49"/>
  <sheetViews>
    <sheetView showGridLines="0" zoomScale="60" zoomScaleNormal="60" workbookViewId="0">
      <selection activeCell="W36" sqref="W36"/>
    </sheetView>
  </sheetViews>
  <sheetFormatPr baseColWidth="10" defaultRowHeight="12.75"/>
  <cols>
    <col min="1" max="1" width="17.83203125" customWidth="1"/>
    <col min="2" max="2" width="5.83203125" customWidth="1"/>
    <col min="3" max="3" width="48.33203125" customWidth="1"/>
    <col min="4" max="4" width="27.1640625" customWidth="1"/>
    <col min="5" max="5" width="15.83203125" customWidth="1"/>
    <col min="6" max="6" width="1.83203125" customWidth="1"/>
    <col min="7" max="7" width="27.1640625" customWidth="1"/>
    <col min="8" max="8" width="15.83203125" customWidth="1"/>
    <col min="9" max="9" width="1.83203125" customWidth="1"/>
    <col min="10" max="10" width="27.1640625" customWidth="1"/>
    <col min="11" max="11" width="15.83203125" customWidth="1"/>
    <col min="12" max="12" width="17.1640625" customWidth="1"/>
    <col min="13" max="13" width="1.6640625" style="2993" customWidth="1"/>
    <col min="14" max="14" width="17.83203125" customWidth="1"/>
    <col min="15" max="15" width="5.6640625" customWidth="1"/>
    <col min="16" max="16" width="48" customWidth="1"/>
    <col min="17" max="17" width="28" customWidth="1"/>
    <col min="18" max="18" width="17" customWidth="1"/>
    <col min="19" max="19" width="2" customWidth="1"/>
    <col min="20" max="20" width="28" customWidth="1"/>
    <col min="21" max="21" width="17" customWidth="1"/>
    <col min="22" max="22" width="2" customWidth="1"/>
    <col min="23" max="23" width="28" customWidth="1"/>
    <col min="24" max="24" width="17" customWidth="1"/>
  </cols>
  <sheetData>
    <row r="2" spans="1:36" s="2955" customFormat="1">
      <c r="M2" s="2993"/>
    </row>
    <row r="3" spans="1:36" ht="28.5" customHeight="1">
      <c r="C3" s="3645" t="s">
        <v>785</v>
      </c>
      <c r="D3" s="3347"/>
      <c r="E3" s="3347"/>
      <c r="F3" s="3347"/>
      <c r="G3" s="3347"/>
      <c r="H3" s="3347"/>
      <c r="I3" s="3347"/>
      <c r="J3" s="3347"/>
      <c r="K3" s="3347"/>
      <c r="L3" s="2569"/>
      <c r="M3" s="3071"/>
      <c r="N3" s="2569"/>
      <c r="O3" s="2569"/>
      <c r="P3" s="3645" t="s">
        <v>791</v>
      </c>
      <c r="Q3" s="3347"/>
      <c r="R3" s="3347"/>
      <c r="S3" s="3347"/>
      <c r="T3" s="3347"/>
      <c r="U3" s="3347"/>
      <c r="V3" s="2569"/>
      <c r="W3" s="2569"/>
      <c r="X3" s="2569"/>
    </row>
    <row r="4" spans="1:36" ht="65.25" customHeight="1">
      <c r="A4" s="2955"/>
      <c r="B4" s="2955"/>
      <c r="C4" s="3346" t="s">
        <v>793</v>
      </c>
      <c r="D4" s="3347"/>
      <c r="E4" s="3347"/>
      <c r="F4" s="3347"/>
      <c r="G4" s="3347"/>
      <c r="H4" s="3347"/>
      <c r="I4" s="3347"/>
      <c r="J4" s="3347"/>
      <c r="K4" s="3347"/>
      <c r="L4" s="2569"/>
      <c r="M4" s="3071"/>
      <c r="N4" s="2569"/>
      <c r="O4" s="2569"/>
      <c r="P4" s="3346" t="s">
        <v>792</v>
      </c>
      <c r="Q4" s="3347"/>
      <c r="R4" s="3347"/>
      <c r="S4" s="3347"/>
      <c r="T4" s="3347"/>
      <c r="U4" s="3347"/>
      <c r="V4" s="2569"/>
      <c r="W4" s="2569"/>
      <c r="X4" s="2569"/>
      <c r="Y4" s="2987"/>
      <c r="Z4" s="2987"/>
      <c r="AA4" s="2987"/>
      <c r="AB4" s="2988"/>
      <c r="AC4" s="2988"/>
      <c r="AD4" s="2988"/>
      <c r="AE4" s="2988"/>
      <c r="AF4" s="2988"/>
      <c r="AG4" s="2988"/>
      <c r="AH4" s="2988"/>
      <c r="AI4" s="1125"/>
      <c r="AJ4" s="1125"/>
    </row>
    <row r="5" spans="1:36" ht="13.5" customHeight="1">
      <c r="A5" s="2955"/>
      <c r="B5" s="2955"/>
      <c r="C5" s="2955"/>
      <c r="D5" s="2955"/>
      <c r="E5" s="2955"/>
      <c r="F5" s="2955"/>
      <c r="G5" s="2955"/>
      <c r="H5" s="2955"/>
      <c r="I5" s="2022"/>
      <c r="J5" s="2955"/>
      <c r="K5" s="2955"/>
      <c r="L5" s="2955"/>
      <c r="M5" s="3072"/>
      <c r="N5" s="2955"/>
      <c r="O5" s="2955"/>
      <c r="P5" s="2955"/>
      <c r="Q5" s="2955"/>
      <c r="R5" s="2955"/>
      <c r="S5" s="2955"/>
      <c r="T5" s="2955"/>
      <c r="U5" s="1125"/>
      <c r="V5" s="1125"/>
      <c r="W5" s="1125"/>
      <c r="X5" s="1125"/>
      <c r="Y5" s="1125"/>
      <c r="Z5" s="1125"/>
      <c r="AA5" s="1125"/>
      <c r="AB5" s="2986"/>
      <c r="AC5" s="1125"/>
      <c r="AD5" s="1125"/>
      <c r="AE5" s="1125"/>
      <c r="AF5" s="1125"/>
      <c r="AG5" s="1125"/>
      <c r="AH5" s="1125"/>
      <c r="AI5" s="1125"/>
      <c r="AJ5" s="1125"/>
    </row>
    <row r="6" spans="1:36">
      <c r="M6" s="3072"/>
      <c r="U6" s="1125"/>
      <c r="V6" s="1125"/>
      <c r="W6" s="1125"/>
      <c r="X6" s="1125"/>
      <c r="Y6" s="1125"/>
      <c r="Z6" s="1125"/>
      <c r="AA6" s="1125"/>
      <c r="AB6" s="1125"/>
      <c r="AC6" s="1125"/>
      <c r="AD6" s="1125"/>
      <c r="AE6" s="1125"/>
      <c r="AF6" s="1125"/>
      <c r="AG6" s="1125"/>
      <c r="AH6" s="1125"/>
      <c r="AI6" s="1125"/>
      <c r="AJ6" s="1125"/>
    </row>
    <row r="7" spans="1:36" ht="13.5" thickBot="1">
      <c r="M7" s="3072"/>
      <c r="U7" s="1125"/>
      <c r="V7" s="1125"/>
      <c r="W7" s="1125"/>
      <c r="X7" s="1125"/>
      <c r="Y7" s="1125"/>
      <c r="Z7" s="1125"/>
      <c r="AA7" s="1125"/>
      <c r="AB7" s="1125"/>
      <c r="AC7" s="1125"/>
      <c r="AD7" s="1125"/>
      <c r="AE7" s="1125"/>
      <c r="AF7" s="1125"/>
      <c r="AG7" s="1125"/>
      <c r="AH7" s="1125"/>
      <c r="AI7" s="1125"/>
      <c r="AJ7" s="1125"/>
    </row>
    <row r="8" spans="1:36" ht="23.25" customHeight="1" thickTop="1" thickBot="1">
      <c r="C8" s="973"/>
      <c r="D8" s="3796" t="str">
        <f>"Apertura 1º Ejerc. "&amp;'1.Datos Básicos. Product-Serv'!B11</f>
        <v>Apertura 1º Ejerc. 0</v>
      </c>
      <c r="E8" s="3796"/>
      <c r="G8" s="3796" t="str">
        <f>"Cierre 1º Ejerc. "&amp;'1.Datos Básicos. Product-Serv'!B11</f>
        <v>Cierre 1º Ejerc. 0</v>
      </c>
      <c r="H8" s="3796"/>
      <c r="J8" s="3802" t="str">
        <f>"Cierre 2º Ejerc. "&amp;'1.Datos Básicos. Product-Serv'!E11</f>
        <v>Cierre 2º Ejerc. 1</v>
      </c>
      <c r="K8" s="3802"/>
      <c r="M8" s="3072"/>
      <c r="P8" s="973"/>
      <c r="Q8" s="3822" t="str">
        <f>"Cierre 1º Ejerc. "&amp;'1.Datos Básicos. Product-Serv'!B11</f>
        <v>Cierre 1º Ejerc. 0</v>
      </c>
      <c r="R8" s="3822"/>
      <c r="T8" s="3822" t="str">
        <f>"Cierre 2º Ejerc. "&amp;'1.Datos Básicos. Product-Serv'!E11</f>
        <v>Cierre 2º Ejerc. 1</v>
      </c>
      <c r="U8" s="3822"/>
    </row>
    <row r="9" spans="1:36" ht="24" customHeight="1" thickBot="1">
      <c r="C9" s="881"/>
      <c r="D9" s="2989" t="s">
        <v>157</v>
      </c>
      <c r="E9" s="2991" t="s">
        <v>37</v>
      </c>
      <c r="G9" s="2989" t="s">
        <v>157</v>
      </c>
      <c r="H9" s="2990" t="s">
        <v>37</v>
      </c>
      <c r="J9" s="2989" t="s">
        <v>157</v>
      </c>
      <c r="K9" s="2990" t="s">
        <v>37</v>
      </c>
      <c r="M9" s="3072"/>
      <c r="P9" s="881"/>
      <c r="Q9" s="2989" t="s">
        <v>157</v>
      </c>
      <c r="R9" s="2991" t="s">
        <v>37</v>
      </c>
      <c r="T9" s="2989" t="s">
        <v>157</v>
      </c>
      <c r="U9" s="2990" t="s">
        <v>37</v>
      </c>
    </row>
    <row r="10" spans="1:36" ht="19.5" customHeight="1">
      <c r="C10" s="3790" t="s">
        <v>119</v>
      </c>
      <c r="D10" s="3786">
        <f>'(0) 4. Resumen Balances (5 Ej.)'!B7</f>
        <v>0</v>
      </c>
      <c r="E10" s="3788">
        <f>'(0) 4. Resumen Balances (5 Ej.)'!C7</f>
        <v>0</v>
      </c>
      <c r="F10" s="3024"/>
      <c r="G10" s="3786">
        <f>'(0) 4. Resumen Balances (5 Ej.)'!D7</f>
        <v>0</v>
      </c>
      <c r="H10" s="3788">
        <f>'(0) 4. Resumen Balances (5 Ej.)'!E7</f>
        <v>0</v>
      </c>
      <c r="I10" s="3024"/>
      <c r="J10" s="3786">
        <f>'(0) 4. Resumen Balances (5 Ej.)'!F7</f>
        <v>0</v>
      </c>
      <c r="K10" s="3788">
        <f>'(0) 4. Resumen Balances (5 Ej.)'!G7</f>
        <v>0</v>
      </c>
      <c r="M10" s="3072"/>
      <c r="P10" s="3800" t="s">
        <v>579</v>
      </c>
      <c r="Q10" s="3803">
        <f>'(0) 5. Resumen P y G (5 Ej.)'!D8</f>
        <v>0</v>
      </c>
      <c r="R10" s="3805" t="str">
        <f>'(0) 5. Resumen P y G (5 Ej.)'!E8</f>
        <v/>
      </c>
      <c r="S10" s="3022"/>
      <c r="T10" s="3803">
        <f>'(0) 5. Resumen P y G (5 Ej.)'!G8</f>
        <v>0</v>
      </c>
      <c r="U10" s="3805" t="str">
        <f>'(0) 5. Resumen P y G (5 Ej.)'!H8</f>
        <v/>
      </c>
      <c r="V10" s="3022"/>
    </row>
    <row r="11" spans="1:36" ht="19.5" customHeight="1" thickBot="1">
      <c r="C11" s="3779"/>
      <c r="D11" s="3787"/>
      <c r="E11" s="3789"/>
      <c r="F11" s="3024"/>
      <c r="G11" s="3787"/>
      <c r="H11" s="3789"/>
      <c r="I11" s="3024"/>
      <c r="J11" s="3787"/>
      <c r="K11" s="3789"/>
      <c r="M11" s="3072"/>
      <c r="P11" s="3801"/>
      <c r="Q11" s="3820"/>
      <c r="R11" s="3821"/>
      <c r="S11" s="3022"/>
      <c r="T11" s="3820"/>
      <c r="U11" s="3821"/>
      <c r="V11" s="3022"/>
    </row>
    <row r="12" spans="1:36" ht="19.5" customHeight="1">
      <c r="C12" s="3776" t="s">
        <v>120</v>
      </c>
      <c r="D12" s="3784">
        <f>'(0) 4. Resumen Balances (5 Ej.)'!B15</f>
        <v>0</v>
      </c>
      <c r="E12" s="3791">
        <f>'(0) 4. Resumen Balances (5 Ej.)'!C15</f>
        <v>0</v>
      </c>
      <c r="F12" s="3024"/>
      <c r="G12" s="3784">
        <f>'(0) 4. Resumen Balances (5 Ej.)'!D15</f>
        <v>0</v>
      </c>
      <c r="H12" s="3791">
        <f>'(0) 4. Resumen Balances (5 Ej.)'!E15</f>
        <v>0</v>
      </c>
      <c r="I12" s="3024"/>
      <c r="J12" s="3784">
        <f>'(0) 4. Resumen Balances (5 Ej.)'!F15</f>
        <v>0</v>
      </c>
      <c r="K12" s="3791">
        <f>'(0) 4. Resumen Balances (5 Ej.)'!G15</f>
        <v>0</v>
      </c>
      <c r="M12" s="3072"/>
      <c r="P12" s="3778" t="s">
        <v>245</v>
      </c>
      <c r="Q12" s="3792">
        <f>'3.Costes D.V. y Pagos (1º,2º)'!P16</f>
        <v>0</v>
      </c>
      <c r="R12" s="3795">
        <f>IF(Q10=0,0,Q12/Q10)</f>
        <v>0</v>
      </c>
      <c r="S12" s="3024"/>
      <c r="T12" s="3792">
        <f>'3.Costes D.V. y Pagos (1º,2º)'!AK16</f>
        <v>0</v>
      </c>
      <c r="U12" s="3795">
        <f>IF(T10=0,0,T12/T10)</f>
        <v>0</v>
      </c>
      <c r="V12" s="3024"/>
    </row>
    <row r="13" spans="1:36" ht="19.5" customHeight="1" thickBot="1">
      <c r="C13" s="3779"/>
      <c r="D13" s="3787"/>
      <c r="E13" s="3789"/>
      <c r="F13" s="3024"/>
      <c r="G13" s="3787"/>
      <c r="H13" s="3789"/>
      <c r="I13" s="3024"/>
      <c r="J13" s="3787"/>
      <c r="K13" s="3789"/>
      <c r="M13" s="3072"/>
      <c r="P13" s="3779"/>
      <c r="Q13" s="3787"/>
      <c r="R13" s="3789"/>
      <c r="S13" s="3024"/>
      <c r="T13" s="3787"/>
      <c r="U13" s="3789"/>
      <c r="V13" s="3024"/>
    </row>
    <row r="14" spans="1:36" ht="19.5" customHeight="1">
      <c r="C14" s="3780" t="s">
        <v>577</v>
      </c>
      <c r="D14" s="3782">
        <f>SUM(D10:D13)</f>
        <v>0</v>
      </c>
      <c r="E14" s="3793">
        <f>SUM(E10:E13)</f>
        <v>0</v>
      </c>
      <c r="F14" s="3023"/>
      <c r="G14" s="3782">
        <f>SUM(G10:G13)</f>
        <v>0</v>
      </c>
      <c r="H14" s="3793">
        <f>SUM(H10:H13)</f>
        <v>0</v>
      </c>
      <c r="I14" s="3023"/>
      <c r="J14" s="3782">
        <f>SUM(J10:J13)</f>
        <v>0</v>
      </c>
      <c r="K14" s="3793">
        <f>SUM(K10:K13)</f>
        <v>0</v>
      </c>
      <c r="M14" s="3072"/>
      <c r="P14" s="3776" t="s">
        <v>608</v>
      </c>
      <c r="Q14" s="3784">
        <f>'3.Costes D.V. y Pagos (1º,2º)'!P37</f>
        <v>0</v>
      </c>
      <c r="R14" s="3791">
        <f>IF(Q10=0,0,Q14/Q10)</f>
        <v>0</v>
      </c>
      <c r="S14" s="3024"/>
      <c r="T14" s="3784">
        <f>'3.Costes D.V. y Pagos (1º,2º)'!AK37</f>
        <v>0</v>
      </c>
      <c r="U14" s="3791">
        <f>IF(T10=0,0,T14/T10)</f>
        <v>0</v>
      </c>
      <c r="V14" s="3024"/>
    </row>
    <row r="15" spans="1:36" ht="19.5" customHeight="1" thickBot="1">
      <c r="C15" s="3781"/>
      <c r="D15" s="3783"/>
      <c r="E15" s="3794"/>
      <c r="F15" s="3023"/>
      <c r="G15" s="3783"/>
      <c r="H15" s="3794"/>
      <c r="I15" s="3023"/>
      <c r="J15" s="3783"/>
      <c r="K15" s="3794"/>
      <c r="M15" s="3072"/>
      <c r="P15" s="3779"/>
      <c r="Q15" s="3787"/>
      <c r="R15" s="3789"/>
      <c r="S15" s="3024"/>
      <c r="T15" s="3787"/>
      <c r="U15" s="3789"/>
      <c r="V15" s="3024"/>
    </row>
    <row r="16" spans="1:36" ht="19.5" customHeight="1">
      <c r="C16" s="3778" t="s">
        <v>178</v>
      </c>
      <c r="D16" s="3792">
        <f>'(0) 4. Resumen Balances (5 Ej.)'!B20</f>
        <v>0</v>
      </c>
      <c r="E16" s="3795">
        <f>'(0) 4. Resumen Balances (5 Ej.)'!C20</f>
        <v>0</v>
      </c>
      <c r="F16" s="3024"/>
      <c r="G16" s="3792">
        <f>'(0) 4. Resumen Balances (5 Ej.)'!D20</f>
        <v>0</v>
      </c>
      <c r="H16" s="3795">
        <f>'(0) 4. Resumen Balances (5 Ej.)'!E20</f>
        <v>0</v>
      </c>
      <c r="I16" s="3024"/>
      <c r="J16" s="3792">
        <f>'(0) 4. Resumen Balances (5 Ej.)'!F20</f>
        <v>0</v>
      </c>
      <c r="K16" s="3795">
        <f>'(0) 4. Resumen Balances (5 Ej.)'!G20</f>
        <v>0</v>
      </c>
      <c r="M16" s="3072"/>
      <c r="P16" s="3798" t="s">
        <v>580</v>
      </c>
      <c r="Q16" s="3826">
        <f>SUM(Q12:Q15)</f>
        <v>0</v>
      </c>
      <c r="R16" s="3828">
        <f>IF(Q10=0,0,Q16/Q10)</f>
        <v>0</v>
      </c>
      <c r="S16" s="3022"/>
      <c r="T16" s="3826">
        <f>SUM(T12:T15)</f>
        <v>0</v>
      </c>
      <c r="U16" s="3828">
        <f>IF(T10=0,0,T16/T10)</f>
        <v>0</v>
      </c>
      <c r="V16" s="3022"/>
    </row>
    <row r="17" spans="3:22" ht="19.5" customHeight="1" thickBot="1">
      <c r="C17" s="3779"/>
      <c r="D17" s="3787"/>
      <c r="E17" s="3789"/>
      <c r="F17" s="3024"/>
      <c r="G17" s="3787"/>
      <c r="H17" s="3789"/>
      <c r="I17" s="3024"/>
      <c r="J17" s="3787"/>
      <c r="K17" s="3789"/>
      <c r="M17" s="3072"/>
      <c r="P17" s="3799"/>
      <c r="Q17" s="3827"/>
      <c r="R17" s="3829"/>
      <c r="S17" s="3022"/>
      <c r="T17" s="3827"/>
      <c r="U17" s="3829"/>
      <c r="V17" s="3022"/>
    </row>
    <row r="18" spans="3:22" ht="19.5" customHeight="1">
      <c r="C18" s="3776" t="s">
        <v>127</v>
      </c>
      <c r="D18" s="3784">
        <f>'(0) 4. Resumen Balances (5 Ej.)'!B28</f>
        <v>0</v>
      </c>
      <c r="E18" s="3791">
        <f>'(0) 4. Resumen Balances (5 Ej.)'!C28</f>
        <v>0</v>
      </c>
      <c r="F18" s="3024"/>
      <c r="G18" s="3784">
        <f>'(0) 4. Resumen Balances (5 Ej.)'!D28</f>
        <v>0</v>
      </c>
      <c r="H18" s="3791">
        <f>'(0) 4. Resumen Balances (5 Ej.)'!E28</f>
        <v>0</v>
      </c>
      <c r="I18" s="3024"/>
      <c r="J18" s="3784">
        <f>'(0) 4. Resumen Balances (5 Ej.)'!F28</f>
        <v>0</v>
      </c>
      <c r="K18" s="3791">
        <f>'(0) 4. Resumen Balances (5 Ej.)'!G28</f>
        <v>0</v>
      </c>
      <c r="M18" s="3072"/>
      <c r="P18" s="3800" t="s">
        <v>787</v>
      </c>
      <c r="Q18" s="3803">
        <f>Q10-Q16</f>
        <v>0</v>
      </c>
      <c r="R18" s="3824">
        <f>IF(Q10=0,0,Q18/Q10)</f>
        <v>0</v>
      </c>
      <c r="S18" s="3022"/>
      <c r="T18" s="3803">
        <f>T10-T16</f>
        <v>0</v>
      </c>
      <c r="U18" s="3824">
        <f>IF(T10=0,0,T18/T10)</f>
        <v>0</v>
      </c>
      <c r="V18" s="3022"/>
    </row>
    <row r="19" spans="3:22" ht="19.5" customHeight="1">
      <c r="C19" s="3777"/>
      <c r="D19" s="3785"/>
      <c r="E19" s="3797"/>
      <c r="F19" s="3024"/>
      <c r="G19" s="3785"/>
      <c r="H19" s="3797"/>
      <c r="I19" s="3024"/>
      <c r="J19" s="3785"/>
      <c r="K19" s="3797"/>
      <c r="M19" s="3072"/>
      <c r="P19" s="3811"/>
      <c r="Q19" s="3823"/>
      <c r="R19" s="3825"/>
      <c r="S19" s="3022"/>
      <c r="T19" s="3823"/>
      <c r="U19" s="3825"/>
      <c r="V19" s="3022"/>
    </row>
    <row r="20" spans="3:22" ht="19.5" customHeight="1">
      <c r="C20" s="3778" t="s">
        <v>128</v>
      </c>
      <c r="D20" s="3792">
        <f>'(0) 4. Resumen Balances (5 Ej.)'!B32</f>
        <v>0</v>
      </c>
      <c r="E20" s="3795">
        <f>'(0) 4. Resumen Balances (5 Ej.)'!C32</f>
        <v>0</v>
      </c>
      <c r="F20" s="3024"/>
      <c r="G20" s="3792">
        <f>'(0) 4. Resumen Balances (5 Ej.)'!D32</f>
        <v>0</v>
      </c>
      <c r="H20" s="3795">
        <f>'(0) 4. Resumen Balances (5 Ej.)'!E32</f>
        <v>0</v>
      </c>
      <c r="I20" s="3024"/>
      <c r="J20" s="3792">
        <f>'(0) 4. Resumen Balances (5 Ej.)'!F32</f>
        <v>0</v>
      </c>
      <c r="K20" s="3795">
        <f>'(0) 4. Resumen Balances (5 Ej.)'!G32</f>
        <v>0</v>
      </c>
      <c r="M20" s="3072"/>
      <c r="P20" s="3776" t="s">
        <v>612</v>
      </c>
      <c r="Q20" s="3784">
        <f>('(0) 5. Resumen P y G (5 Ej.)'!D19+'(0) 5. Resumen P y G (5 Ej.)'!D20)</f>
        <v>0</v>
      </c>
      <c r="R20" s="3791">
        <f>IF(Q10=0,0,Q20/Q10)</f>
        <v>0</v>
      </c>
      <c r="S20" s="3024"/>
      <c r="T20" s="3784">
        <f>('(0) 5. Resumen P y G (5 Ej.)'!G19+'(0) 5. Resumen P y G (5 Ej.)'!G20)</f>
        <v>0</v>
      </c>
      <c r="U20" s="3791">
        <f>IF(T10=0,0,T20/T10)</f>
        <v>0</v>
      </c>
      <c r="V20" s="3024"/>
    </row>
    <row r="21" spans="3:22" ht="19.5" customHeight="1" thickBot="1">
      <c r="C21" s="3779"/>
      <c r="D21" s="3787"/>
      <c r="E21" s="3789"/>
      <c r="F21" s="3024"/>
      <c r="G21" s="3787"/>
      <c r="H21" s="3789"/>
      <c r="I21" s="3024"/>
      <c r="J21" s="3787"/>
      <c r="K21" s="3789"/>
      <c r="M21" s="3072"/>
      <c r="P21" s="3779"/>
      <c r="Q21" s="3787"/>
      <c r="R21" s="3789"/>
      <c r="S21" s="3024"/>
      <c r="T21" s="3787"/>
      <c r="U21" s="3789"/>
      <c r="V21" s="3024"/>
    </row>
    <row r="22" spans="3:22" ht="19.5" customHeight="1">
      <c r="C22" s="3780" t="s">
        <v>578</v>
      </c>
      <c r="D22" s="3782">
        <f>SUM(D16:D21)</f>
        <v>0</v>
      </c>
      <c r="E22" s="3793">
        <f>SUM(E16:E21)</f>
        <v>0</v>
      </c>
      <c r="F22" s="3023"/>
      <c r="G22" s="3782">
        <f>SUM(G16:G21)</f>
        <v>0</v>
      </c>
      <c r="H22" s="3793">
        <f>SUM(H16:H21)</f>
        <v>0</v>
      </c>
      <c r="I22" s="3023"/>
      <c r="J22" s="3782">
        <f>SUM(J16:J21)</f>
        <v>0</v>
      </c>
      <c r="K22" s="3793">
        <f>SUM(K16:K21)</f>
        <v>0</v>
      </c>
      <c r="M22" s="3072"/>
      <c r="P22" s="3776" t="s">
        <v>610</v>
      </c>
      <c r="Q22" s="3784">
        <f>SUM('(0) 5. Resumen P y G (5 Ej.)'!D21:D34)</f>
        <v>0</v>
      </c>
      <c r="R22" s="3791">
        <f>IF(Q10=0,0,Q22/Q10)</f>
        <v>0</v>
      </c>
      <c r="S22" s="3024"/>
      <c r="T22" s="3784">
        <f>SUM('(0) 5. Resumen P y G (5 Ej.)'!G21:G34)</f>
        <v>0</v>
      </c>
      <c r="U22" s="3791">
        <f>IF(T10=0,0,T22/T10)</f>
        <v>0</v>
      </c>
      <c r="V22" s="3024"/>
    </row>
    <row r="23" spans="3:22" ht="19.5" customHeight="1" thickBot="1">
      <c r="C23" s="3781"/>
      <c r="D23" s="3783"/>
      <c r="E23" s="3794"/>
      <c r="F23" s="3023"/>
      <c r="G23" s="3783"/>
      <c r="H23" s="3794"/>
      <c r="I23" s="3023"/>
      <c r="J23" s="3783"/>
      <c r="K23" s="3794"/>
      <c r="M23" s="3072"/>
      <c r="P23" s="3779"/>
      <c r="Q23" s="3787"/>
      <c r="R23" s="3789"/>
      <c r="S23" s="3024"/>
      <c r="T23" s="3787"/>
      <c r="U23" s="3789"/>
      <c r="V23" s="3024"/>
    </row>
    <row r="24" spans="3:22" ht="19.5" customHeight="1">
      <c r="M24" s="3072"/>
      <c r="P24" s="3807" t="s">
        <v>581</v>
      </c>
      <c r="Q24" s="3830">
        <f>(Q20+Q22)</f>
        <v>0</v>
      </c>
      <c r="R24" s="3832">
        <f>IF(Q10=0,0,Q24/Q10)</f>
        <v>0</v>
      </c>
      <c r="S24" s="3024"/>
      <c r="T24" s="3830">
        <f>(T20+T22)</f>
        <v>0</v>
      </c>
      <c r="U24" s="3832">
        <f>IF(T10=0,0,T24/T10)</f>
        <v>0</v>
      </c>
      <c r="V24" s="3024"/>
    </row>
    <row r="25" spans="3:22" ht="19.5" customHeight="1" thickBot="1">
      <c r="M25" s="3072"/>
      <c r="P25" s="3808"/>
      <c r="Q25" s="3831"/>
      <c r="R25" s="3833"/>
      <c r="S25" s="3024"/>
      <c r="T25" s="3831"/>
      <c r="U25" s="3833"/>
      <c r="V25" s="3024"/>
    </row>
    <row r="26" spans="3:22" ht="19.5" customHeight="1" thickBot="1">
      <c r="C26" s="3025" t="s">
        <v>786</v>
      </c>
      <c r="D26" s="3026">
        <f>'(0) 4. Resumen Balances (5 Ej.)'!B18</f>
        <v>0</v>
      </c>
      <c r="E26" s="3027" t="str">
        <f>'(0) 4. Resumen Balances (5 Ej.)'!C18</f>
        <v/>
      </c>
      <c r="F26" s="3028"/>
      <c r="G26" s="3029">
        <f>'(0) 4. Resumen Balances (5 Ej.)'!D18</f>
        <v>0</v>
      </c>
      <c r="H26" s="3027" t="str">
        <f>'(0) 4. Resumen Balances (5 Ej.)'!E18</f>
        <v/>
      </c>
      <c r="I26" s="3028"/>
      <c r="J26" s="3029">
        <f>'(0) 4. Resumen Balances (5 Ej.)'!F18</f>
        <v>0</v>
      </c>
      <c r="K26" s="3027" t="str">
        <f>'(0) 4. Resumen Balances (5 Ej.)'!G18</f>
        <v/>
      </c>
      <c r="M26" s="3072"/>
      <c r="P26" s="3809" t="s">
        <v>788</v>
      </c>
      <c r="Q26" s="3803">
        <f>Q18-Q24</f>
        <v>0</v>
      </c>
      <c r="R26" s="3805">
        <f>IF(Q10=0,0,Q26/Q10)</f>
        <v>0</v>
      </c>
      <c r="S26" s="3022"/>
      <c r="T26" s="3803">
        <f>T18-T24</f>
        <v>0</v>
      </c>
      <c r="U26" s="3805">
        <f>IF(T10=0,0,T26/T10)</f>
        <v>0</v>
      </c>
      <c r="V26" s="3022"/>
    </row>
    <row r="27" spans="3:22" ht="19.5" customHeight="1" thickBot="1">
      <c r="M27" s="3072"/>
      <c r="P27" s="3810"/>
      <c r="Q27" s="3804"/>
      <c r="R27" s="3806"/>
      <c r="S27" s="3022"/>
      <c r="T27" s="3804"/>
      <c r="U27" s="3806"/>
      <c r="V27" s="3022"/>
    </row>
    <row r="28" spans="3:22" ht="19.5" customHeight="1" thickBot="1">
      <c r="C28" s="3025" t="s">
        <v>832</v>
      </c>
      <c r="D28" s="3026">
        <f>D16+D18</f>
        <v>0</v>
      </c>
      <c r="E28" s="3027">
        <f>E16+E18</f>
        <v>0</v>
      </c>
      <c r="F28" s="3028"/>
      <c r="G28" s="3029">
        <f>G16+G18</f>
        <v>0</v>
      </c>
      <c r="H28" s="3027">
        <f>H16+H18</f>
        <v>0</v>
      </c>
      <c r="I28" s="3028"/>
      <c r="J28" s="3029">
        <f>J16+J18</f>
        <v>0</v>
      </c>
      <c r="K28" s="3027">
        <f>K16+K18</f>
        <v>0</v>
      </c>
      <c r="M28" s="3072"/>
      <c r="P28" s="3790" t="s">
        <v>582</v>
      </c>
      <c r="Q28" s="3786">
        <f>'(0) 5. Resumen P y G (5 Ej.)'!D36</f>
        <v>0</v>
      </c>
      <c r="R28" s="3788">
        <f>IF(Q10=0,0,Q28/Q10)</f>
        <v>0</v>
      </c>
      <c r="S28" s="3024"/>
      <c r="T28" s="3786">
        <f>'(0) 5. Resumen P y G (5 Ej.)'!G36</f>
        <v>0</v>
      </c>
      <c r="U28" s="3788">
        <f>IF(T10=0,0,T28/T10)</f>
        <v>0</v>
      </c>
      <c r="V28" s="3024"/>
    </row>
    <row r="29" spans="3:22" ht="19.5" customHeight="1" thickBot="1">
      <c r="M29" s="3072"/>
      <c r="P29" s="3779"/>
      <c r="Q29" s="3787"/>
      <c r="R29" s="3789"/>
      <c r="S29" s="3024"/>
      <c r="T29" s="3787"/>
      <c r="U29" s="3789"/>
      <c r="V29" s="3024"/>
    </row>
    <row r="30" spans="3:22" ht="19.5" customHeight="1">
      <c r="C30" s="3217" t="s">
        <v>852</v>
      </c>
      <c r="D30" s="3218">
        <f>D22-D14</f>
        <v>0</v>
      </c>
      <c r="E30" s="3219">
        <f t="shared" ref="E30:K30" si="0">E22-E14</f>
        <v>0</v>
      </c>
      <c r="F30" s="3218">
        <f t="shared" si="0"/>
        <v>0</v>
      </c>
      <c r="G30" s="3218">
        <f t="shared" si="0"/>
        <v>0</v>
      </c>
      <c r="H30" s="3219">
        <f t="shared" si="0"/>
        <v>0</v>
      </c>
      <c r="I30" s="3218">
        <f t="shared" si="0"/>
        <v>0</v>
      </c>
      <c r="J30" s="3218">
        <f t="shared" si="0"/>
        <v>0</v>
      </c>
      <c r="K30" s="3219">
        <f t="shared" si="0"/>
        <v>0</v>
      </c>
      <c r="M30" s="3072"/>
      <c r="P30" s="3809" t="s">
        <v>789</v>
      </c>
      <c r="Q30" s="3803">
        <f>Q26-Q28</f>
        <v>0</v>
      </c>
      <c r="R30" s="3805">
        <f>IF(Q10=0,0,Q30/Q10)</f>
        <v>0</v>
      </c>
      <c r="S30" s="3022"/>
      <c r="T30" s="3803">
        <f>T26-T28</f>
        <v>0</v>
      </c>
      <c r="U30" s="3805">
        <f>IF(T10=0,0,T30/T10)</f>
        <v>0</v>
      </c>
      <c r="V30" s="3022"/>
    </row>
    <row r="31" spans="3:22" ht="19.5" customHeight="1" thickBot="1">
      <c r="M31" s="3072"/>
      <c r="P31" s="3812"/>
      <c r="Q31" s="3820"/>
      <c r="R31" s="3821"/>
      <c r="S31" s="3022"/>
      <c r="T31" s="3820"/>
      <c r="U31" s="3821"/>
      <c r="V31" s="3022"/>
    </row>
    <row r="32" spans="3:22" s="2993" customFormat="1" ht="19.5" customHeight="1">
      <c r="M32" s="3072"/>
      <c r="P32" s="3790" t="s">
        <v>31</v>
      </c>
      <c r="Q32" s="3786">
        <f>'(0) 5. Resumen P y G (5 Ej.)'!D39</f>
        <v>0</v>
      </c>
      <c r="R32" s="3834">
        <f>IF('9. Abrev Balan-CtaR (Ej 1º,2º)'!Q10=0,0,Q32/'9. Abrev Balan-CtaR (Ej 1º,2º)'!Q10)</f>
        <v>0</v>
      </c>
      <c r="T32" s="3786">
        <f>'(0) 5. Resumen P y G (5 Ej.)'!G39</f>
        <v>0</v>
      </c>
      <c r="U32" s="3834">
        <f>IF('9. Abrev Balan-CtaR (Ej 1º,2º)'!T10=0,0,T32/'9. Abrev Balan-CtaR (Ej 1º,2º)'!T10)</f>
        <v>0</v>
      </c>
    </row>
    <row r="33" spans="13:21" s="2993" customFormat="1" ht="19.5" customHeight="1" thickBot="1">
      <c r="M33" s="3072"/>
      <c r="P33" s="3852"/>
      <c r="Q33" s="3843"/>
      <c r="R33" s="3847"/>
      <c r="T33" s="3861"/>
      <c r="U33" s="3862"/>
    </row>
    <row r="34" spans="13:21" ht="19.5" customHeight="1">
      <c r="M34" s="3072"/>
      <c r="P34" s="3807" t="s">
        <v>583</v>
      </c>
      <c r="Q34" s="3844">
        <f>'(0) 5. Resumen P y G (5 Ej.)'!D40</f>
        <v>0</v>
      </c>
      <c r="R34" s="3848">
        <f>IF('9. Abrev Balan-CtaR (Ej 1º,2º)'!Q10=0,0,Q34/'9. Abrev Balan-CtaR (Ej 1º,2º)'!Q10)</f>
        <v>0</v>
      </c>
      <c r="T34" s="3830">
        <f>'(0) 5. Resumen P y G (5 Ej.)'!G40</f>
        <v>0</v>
      </c>
      <c r="U34" s="3832">
        <f>IF('9. Abrev Balan-CtaR (Ej 1º,2º)'!T10=0,0,T34/'9. Abrev Balan-CtaR (Ej 1º,2º)'!T10)</f>
        <v>0</v>
      </c>
    </row>
    <row r="35" spans="13:21" ht="19.5" customHeight="1">
      <c r="M35" s="3072"/>
      <c r="P35" s="3853"/>
      <c r="Q35" s="3845"/>
      <c r="R35" s="3849"/>
      <c r="T35" s="3863"/>
      <c r="U35" s="3864"/>
    </row>
    <row r="36" spans="13:21" ht="19.5" customHeight="1">
      <c r="M36" s="3072"/>
      <c r="P36" s="3854" t="s">
        <v>590</v>
      </c>
      <c r="Q36" s="3784">
        <f>'(0) 5. Resumen P y G (5 Ej.)'!D43+'(0) 5. Resumen P y G (5 Ej.)'!D42</f>
        <v>0</v>
      </c>
      <c r="R36" s="3850">
        <f>IF('9. Abrev Balan-CtaR (Ej 1º,2º)'!Q10=0,0,Q36/'9. Abrev Balan-CtaR (Ej 1º,2º)'!Q10)</f>
        <v>0</v>
      </c>
      <c r="T36" s="3784">
        <f>'(0) 5. Resumen P y G (5 Ej.)'!G43+'(0) 5. Resumen P y G (5 Ej.)'!G42</f>
        <v>0</v>
      </c>
      <c r="U36" s="3791">
        <f>IF('9. Abrev Balan-CtaR (Ej 1º,2º)'!T10=0,0,T36/'9. Abrev Balan-CtaR (Ej 1º,2º)'!T10)</f>
        <v>0</v>
      </c>
    </row>
    <row r="37" spans="13:21" ht="19.5" customHeight="1" thickBot="1">
      <c r="M37" s="3072"/>
      <c r="P37" s="3855"/>
      <c r="Q37" s="3836"/>
      <c r="R37" s="3835"/>
      <c r="T37" s="3865"/>
      <c r="U37" s="3866"/>
    </row>
    <row r="38" spans="13:21" ht="19.5" customHeight="1">
      <c r="M38" s="3072"/>
      <c r="P38" s="3809" t="s">
        <v>790</v>
      </c>
      <c r="Q38" s="3803">
        <f>'(0) 5. Resumen P y G (5 Ej.)'!D44</f>
        <v>0</v>
      </c>
      <c r="R38" s="3824">
        <f>IF('9. Abrev Balan-CtaR (Ej 1º,2º)'!Q10=0,0,Q38/'9. Abrev Balan-CtaR (Ej 1º,2º)'!Q10)</f>
        <v>0</v>
      </c>
      <c r="T38" s="3803">
        <f>'(0) 5. Resumen P y G (5 Ej.)'!G44</f>
        <v>0</v>
      </c>
      <c r="U38" s="3805">
        <f>IF('9. Abrev Balan-CtaR (Ej 1º,2º)'!T10=0,0,T38/'9. Abrev Balan-CtaR (Ej 1º,2º)'!T10)</f>
        <v>0</v>
      </c>
    </row>
    <row r="39" spans="13:21" ht="18.75" customHeight="1" thickBot="1">
      <c r="M39" s="3072"/>
      <c r="P39" s="3856"/>
      <c r="Q39" s="3846"/>
      <c r="R39" s="3851"/>
      <c r="T39" s="3820"/>
      <c r="U39" s="3821"/>
    </row>
    <row r="40" spans="13:21" ht="18.75" customHeight="1">
      <c r="M40" s="3072"/>
      <c r="P40" s="3790" t="s">
        <v>584</v>
      </c>
      <c r="Q40" s="3786">
        <f>'(0) 5. Resumen P y G (5 Ej.)'!D45</f>
        <v>0</v>
      </c>
      <c r="R40" s="3834">
        <f>IF('9. Abrev Balan-CtaR (Ej 1º,2º)'!Q10=0,0,Q40/'9. Abrev Balan-CtaR (Ej 1º,2º)'!Q10)</f>
        <v>0</v>
      </c>
      <c r="T40" s="3786">
        <f>'(0) 5. Resumen P y G (5 Ej.)'!G45</f>
        <v>0</v>
      </c>
      <c r="U40" s="3788">
        <f>IF('9. Abrev Balan-CtaR (Ej 1º,2º)'!T10=0,0,T40/'9. Abrev Balan-CtaR (Ej 1º,2º)'!T10)</f>
        <v>0</v>
      </c>
    </row>
    <row r="41" spans="13:21" ht="18.75" customHeight="1" thickBot="1">
      <c r="M41" s="3072"/>
      <c r="P41" s="3855"/>
      <c r="Q41" s="3836"/>
      <c r="R41" s="3835"/>
      <c r="T41" s="3787"/>
      <c r="U41" s="3789"/>
    </row>
    <row r="42" spans="13:21" ht="14.25" customHeight="1">
      <c r="M42" s="3072"/>
      <c r="P42" s="3800" t="s">
        <v>835</v>
      </c>
      <c r="Q42" s="3814">
        <f>'(0) 5. Resumen P y G (5 Ej.)'!D46</f>
        <v>0</v>
      </c>
      <c r="R42" s="3817">
        <f>IF('9. Abrev Balan-CtaR (Ej 1º,2º)'!Q10=0,0,Q42/'9. Abrev Balan-CtaR (Ej 1º,2º)'!Q10)</f>
        <v>0</v>
      </c>
      <c r="T42" s="3814">
        <f>'(0) 5. Resumen P y G (5 Ej.)'!G46</f>
        <v>0</v>
      </c>
      <c r="U42" s="3817">
        <f>IF('9. Abrev Balan-CtaR (Ej 1º,2º)'!T10=0,0,T42/'9. Abrev Balan-CtaR (Ej 1º,2º)'!T10)</f>
        <v>0</v>
      </c>
    </row>
    <row r="43" spans="13:21" ht="14.25" customHeight="1">
      <c r="M43" s="3072"/>
      <c r="P43" s="3813"/>
      <c r="Q43" s="3815"/>
      <c r="R43" s="3818"/>
      <c r="T43" s="3815"/>
      <c r="U43" s="3818"/>
    </row>
    <row r="44" spans="13:21" ht="14.25" customHeight="1" thickBot="1">
      <c r="M44" s="3072"/>
      <c r="P44" s="3812"/>
      <c r="Q44" s="3816"/>
      <c r="R44" s="3819"/>
      <c r="T44" s="3816"/>
      <c r="U44" s="3819"/>
    </row>
    <row r="45" spans="13:21">
      <c r="M45" s="3072"/>
    </row>
    <row r="46" spans="13:21" ht="13.5" thickBot="1">
      <c r="M46" s="3072"/>
    </row>
    <row r="47" spans="13:21" ht="18.75" customHeight="1">
      <c r="M47" s="3072"/>
      <c r="P47" s="3837" t="s">
        <v>834</v>
      </c>
      <c r="Q47" s="3839">
        <f>'(0) 5. Resumen P y G (5 Ej.)'!D25</f>
        <v>0</v>
      </c>
      <c r="R47" s="3841">
        <f>IF('9. Abrev Balan-CtaR (Ej 1º,2º)'!Q10=0,0,Q47/'9. Abrev Balan-CtaR (Ej 1º,2º)'!Q10)</f>
        <v>0</v>
      </c>
      <c r="T47" s="3857">
        <f>'(0) 5. Resumen P y G (5 Ej.)'!G25</f>
        <v>0</v>
      </c>
      <c r="U47" s="3859">
        <f>IF('9. Abrev Balan-CtaR (Ej 1º,2º)'!T10=0,0,T47/'9. Abrev Balan-CtaR (Ej 1º,2º)'!T10)</f>
        <v>0</v>
      </c>
    </row>
    <row r="48" spans="13:21" ht="18.75" customHeight="1" thickBot="1">
      <c r="M48" s="3072"/>
      <c r="P48" s="3838"/>
      <c r="Q48" s="3840"/>
      <c r="R48" s="3842"/>
      <c r="T48" s="3858"/>
      <c r="U48" s="3860"/>
    </row>
    <row r="49" spans="13:13">
      <c r="M49" s="3072"/>
    </row>
  </sheetData>
  <sheetProtection sheet="1" objects="1" scenarios="1"/>
  <mergeCells count="148">
    <mergeCell ref="P3:U3"/>
    <mergeCell ref="P4:U4"/>
    <mergeCell ref="T47:T48"/>
    <mergeCell ref="U47:U48"/>
    <mergeCell ref="T32:T33"/>
    <mergeCell ref="U32:U33"/>
    <mergeCell ref="T40:T41"/>
    <mergeCell ref="U40:U41"/>
    <mergeCell ref="T42:T44"/>
    <mergeCell ref="U42:U44"/>
    <mergeCell ref="T38:T39"/>
    <mergeCell ref="U38:U39"/>
    <mergeCell ref="T34:T35"/>
    <mergeCell ref="U34:U35"/>
    <mergeCell ref="T36:T37"/>
    <mergeCell ref="U36:U37"/>
    <mergeCell ref="T28:T29"/>
    <mergeCell ref="U28:U29"/>
    <mergeCell ref="T30:T31"/>
    <mergeCell ref="U30:U31"/>
    <mergeCell ref="T8:U8"/>
    <mergeCell ref="T10:T11"/>
    <mergeCell ref="U10:U11"/>
    <mergeCell ref="T12:T13"/>
    <mergeCell ref="U12:U13"/>
    <mergeCell ref="T18:T19"/>
    <mergeCell ref="U18:U19"/>
    <mergeCell ref="T20:T21"/>
    <mergeCell ref="U20:U21"/>
    <mergeCell ref="T14:T15"/>
    <mergeCell ref="U14:U15"/>
    <mergeCell ref="T16:T17"/>
    <mergeCell ref="U16:U17"/>
    <mergeCell ref="T22:T23"/>
    <mergeCell ref="U22:U23"/>
    <mergeCell ref="T24:T25"/>
    <mergeCell ref="U24:U25"/>
    <mergeCell ref="T26:T27"/>
    <mergeCell ref="U26:U27"/>
    <mergeCell ref="R40:R41"/>
    <mergeCell ref="Q40:Q41"/>
    <mergeCell ref="P47:P48"/>
    <mergeCell ref="Q47:Q48"/>
    <mergeCell ref="R47:R48"/>
    <mergeCell ref="Q32:Q33"/>
    <mergeCell ref="Q34:Q35"/>
    <mergeCell ref="Q36:Q37"/>
    <mergeCell ref="Q38:Q39"/>
    <mergeCell ref="R32:R33"/>
    <mergeCell ref="R34:R35"/>
    <mergeCell ref="R36:R37"/>
    <mergeCell ref="R38:R39"/>
    <mergeCell ref="P32:P33"/>
    <mergeCell ref="P34:P35"/>
    <mergeCell ref="P36:P37"/>
    <mergeCell ref="P38:P39"/>
    <mergeCell ref="P40:P41"/>
    <mergeCell ref="P42:P44"/>
    <mergeCell ref="Q42:Q44"/>
    <mergeCell ref="R42:R44"/>
    <mergeCell ref="Q28:Q29"/>
    <mergeCell ref="R28:R29"/>
    <mergeCell ref="Q30:Q31"/>
    <mergeCell ref="R30:R31"/>
    <mergeCell ref="Q8:R8"/>
    <mergeCell ref="Q10:Q11"/>
    <mergeCell ref="R10:R11"/>
    <mergeCell ref="Q12:Q13"/>
    <mergeCell ref="R12:R13"/>
    <mergeCell ref="Q18:Q19"/>
    <mergeCell ref="R18:R19"/>
    <mergeCell ref="Q20:Q21"/>
    <mergeCell ref="R20:R21"/>
    <mergeCell ref="Q14:Q15"/>
    <mergeCell ref="R14:R15"/>
    <mergeCell ref="Q16:Q17"/>
    <mergeCell ref="R16:R17"/>
    <mergeCell ref="Q22:Q23"/>
    <mergeCell ref="R22:R23"/>
    <mergeCell ref="Q24:Q25"/>
    <mergeCell ref="R24:R25"/>
    <mergeCell ref="Q26:Q27"/>
    <mergeCell ref="R26:R27"/>
    <mergeCell ref="P22:P23"/>
    <mergeCell ref="P24:P25"/>
    <mergeCell ref="P26:P27"/>
    <mergeCell ref="P18:P19"/>
    <mergeCell ref="P20:P21"/>
    <mergeCell ref="P28:P29"/>
    <mergeCell ref="P30:P31"/>
    <mergeCell ref="P14:P15"/>
    <mergeCell ref="P16:P17"/>
    <mergeCell ref="P10:P11"/>
    <mergeCell ref="P12:P13"/>
    <mergeCell ref="C3:K3"/>
    <mergeCell ref="C4:K4"/>
    <mergeCell ref="K22:K23"/>
    <mergeCell ref="J22:J23"/>
    <mergeCell ref="J20:J21"/>
    <mergeCell ref="J12:J13"/>
    <mergeCell ref="J8:K8"/>
    <mergeCell ref="J10:J11"/>
    <mergeCell ref="K10:K11"/>
    <mergeCell ref="K12:K13"/>
    <mergeCell ref="K16:K17"/>
    <mergeCell ref="J16:J17"/>
    <mergeCell ref="K20:K21"/>
    <mergeCell ref="J14:J15"/>
    <mergeCell ref="K14:K15"/>
    <mergeCell ref="J18:J19"/>
    <mergeCell ref="K18:K19"/>
    <mergeCell ref="G22:G23"/>
    <mergeCell ref="H22:H23"/>
    <mergeCell ref="H18:H19"/>
    <mergeCell ref="G10:G11"/>
    <mergeCell ref="H12:H13"/>
    <mergeCell ref="G20:G21"/>
    <mergeCell ref="H10:H11"/>
    <mergeCell ref="G12:G13"/>
    <mergeCell ref="E22:E23"/>
    <mergeCell ref="D20:D21"/>
    <mergeCell ref="E20:E21"/>
    <mergeCell ref="D8:E8"/>
    <mergeCell ref="H20:H21"/>
    <mergeCell ref="G16:G17"/>
    <mergeCell ref="H16:H17"/>
    <mergeCell ref="G14:G15"/>
    <mergeCell ref="H14:H15"/>
    <mergeCell ref="G18:G19"/>
    <mergeCell ref="G8:H8"/>
    <mergeCell ref="D16:D17"/>
    <mergeCell ref="E16:E17"/>
    <mergeCell ref="E14:E15"/>
    <mergeCell ref="E18:E19"/>
    <mergeCell ref="D14:D15"/>
    <mergeCell ref="C18:C19"/>
    <mergeCell ref="C20:C21"/>
    <mergeCell ref="C14:C15"/>
    <mergeCell ref="C22:C23"/>
    <mergeCell ref="D22:D23"/>
    <mergeCell ref="D18:D19"/>
    <mergeCell ref="D10:D11"/>
    <mergeCell ref="E10:E11"/>
    <mergeCell ref="C10:C11"/>
    <mergeCell ref="C12:C13"/>
    <mergeCell ref="C16:C17"/>
    <mergeCell ref="D12:D13"/>
    <mergeCell ref="E12:E13"/>
  </mergeCells>
  <dataValidations count="1">
    <dataValidation allowBlank="1" showInputMessage="1" sqref="C3:C4 P3:P4"/>
  </dataValidations>
  <printOptions horizontalCentered="1" verticalCentered="1"/>
  <pageMargins left="0.55118110236220474" right="0.19685039370078741" top="0.39370078740157483" bottom="0.39370078740157483" header="0.31496062992125984" footer="0.31496062992125984"/>
  <pageSetup paperSize="9" scale="55" orientation="landscape" r:id="rId1"/>
  <headerFooter>
    <oddFooter>&amp;A</oddFooter>
  </headerFooter>
  <colBreaks count="1" manualBreakCount="1">
    <brk id="13"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A32"/>
  <sheetViews>
    <sheetView showGridLines="0" topLeftCell="A7" zoomScale="86" zoomScaleNormal="86" workbookViewId="0">
      <selection activeCell="J27" sqref="J27"/>
    </sheetView>
  </sheetViews>
  <sheetFormatPr baseColWidth="10" defaultRowHeight="12.75"/>
  <cols>
    <col min="1" max="1" width="3.1640625" style="2993" customWidth="1"/>
    <col min="2" max="2" width="15.5" customWidth="1"/>
    <col min="3" max="3" width="16.6640625" customWidth="1"/>
    <col min="4" max="4" width="22" customWidth="1"/>
    <col min="5" max="5" width="26.1640625" customWidth="1"/>
    <col min="6" max="6" width="1.83203125" customWidth="1"/>
    <col min="7" max="7" width="26.1640625" customWidth="1"/>
    <col min="8" max="8" width="1.6640625" customWidth="1"/>
    <col min="9" max="9" width="26.1640625" customWidth="1"/>
    <col min="10" max="10" width="9" customWidth="1"/>
    <col min="11" max="11" width="1.1640625" customWidth="1"/>
    <col min="12" max="12" width="8.83203125" customWidth="1"/>
    <col min="13" max="13" width="32.33203125" customWidth="1"/>
    <col min="14" max="14" width="23.6640625" customWidth="1"/>
    <col min="15" max="15" width="11.1640625" customWidth="1"/>
    <col min="16" max="16" width="2" customWidth="1"/>
    <col min="17" max="17" width="23.6640625" customWidth="1"/>
    <col min="18" max="18" width="11.1640625" customWidth="1"/>
    <col min="20" max="20" width="1.33203125" customWidth="1"/>
    <col min="22" max="22" width="44.83203125" customWidth="1"/>
    <col min="23" max="23" width="27.1640625" customWidth="1"/>
    <col min="24" max="24" width="1.83203125" customWidth="1"/>
    <col min="25" max="25" width="27.1640625" customWidth="1"/>
  </cols>
  <sheetData>
    <row r="4" spans="3:27" ht="28.5" customHeight="1">
      <c r="C4" s="3867" t="s">
        <v>795</v>
      </c>
      <c r="D4" s="3916"/>
      <c r="E4" s="3916"/>
      <c r="F4" s="3916"/>
      <c r="G4" s="3916"/>
      <c r="H4" s="3916"/>
      <c r="I4" s="3916"/>
      <c r="J4" s="2569"/>
      <c r="K4" s="3071"/>
      <c r="M4" s="3867" t="s">
        <v>797</v>
      </c>
      <c r="N4" s="3916"/>
      <c r="O4" s="3916"/>
      <c r="P4" s="3916"/>
      <c r="Q4" s="3916"/>
      <c r="R4" s="3916"/>
      <c r="S4" s="3107"/>
      <c r="T4" s="3072"/>
      <c r="V4" s="3867" t="s">
        <v>837</v>
      </c>
      <c r="W4" s="3347"/>
      <c r="X4" s="3347"/>
      <c r="Y4" s="3347"/>
      <c r="Z4" s="3110"/>
      <c r="AA4" s="3110"/>
    </row>
    <row r="5" spans="3:27">
      <c r="K5" s="3072"/>
      <c r="T5" s="3072"/>
    </row>
    <row r="6" spans="3:27">
      <c r="K6" s="3072"/>
      <c r="T6" s="3072"/>
    </row>
    <row r="7" spans="3:27" ht="13.5" thickBot="1">
      <c r="K7" s="3072"/>
      <c r="T7" s="3072"/>
    </row>
    <row r="8" spans="3:27" ht="16.5" customHeight="1" thickTop="1" thickBot="1">
      <c r="C8" s="3073"/>
      <c r="D8" s="3081"/>
      <c r="E8" s="3082" t="str">
        <f>'(0) 4. Resumen Balances (5 Ej.)'!B5</f>
        <v>Apertura 1º Ejerc. 0</v>
      </c>
      <c r="G8" s="3100" t="str">
        <f>'(0) 4. Resumen Balances (5 Ej.)'!D5</f>
        <v>Cierre 1º Ejerc. 0</v>
      </c>
      <c r="I8" s="3100" t="str">
        <f>'(0) 4. Resumen Balances (5 Ej.)'!F5</f>
        <v>Cierre 2º Ejerc. 1</v>
      </c>
      <c r="K8" s="3072"/>
      <c r="N8" s="3929" t="str">
        <f>'(0) 4. Resumen Balances (5 Ej.)'!D5</f>
        <v>Cierre 1º Ejerc. 0</v>
      </c>
      <c r="O8" s="3930"/>
      <c r="Q8" s="3931" t="str">
        <f>'(0) 4. Resumen Balances (5 Ej.)'!F5</f>
        <v>Cierre 2º Ejerc. 1</v>
      </c>
      <c r="R8" s="3932"/>
      <c r="T8" s="3072"/>
      <c r="W8" s="3111" t="str">
        <f>'(0) 4. Resumen Balances (5 Ej.)'!D5</f>
        <v>Cierre 1º Ejerc. 0</v>
      </c>
      <c r="X8" s="3109"/>
      <c r="Y8" s="3111" t="str">
        <f>'(0) 4. Resumen Balances (5 Ej.)'!F5</f>
        <v>Cierre 2º Ejerc. 1</v>
      </c>
      <c r="Z8" s="3109"/>
    </row>
    <row r="9" spans="3:27" ht="16.5" customHeight="1">
      <c r="C9" s="3078" t="s">
        <v>322</v>
      </c>
      <c r="D9" s="3087"/>
      <c r="E9" s="3927">
        <f>'(0) 4. Resumen Balances (5 Ej.)'!C7</f>
        <v>0</v>
      </c>
      <c r="G9" s="3924">
        <f>'(0) 4. Resumen Balances (5 Ej.)'!E7</f>
        <v>0</v>
      </c>
      <c r="I9" s="3924">
        <f>'(0) 4. Resumen Balances (5 Ej.)'!G7</f>
        <v>0</v>
      </c>
      <c r="K9" s="3072"/>
      <c r="M9" s="3920" t="s">
        <v>796</v>
      </c>
      <c r="N9" s="3933">
        <f>'(0) 5. Resumen P y G (5 Ej.)'!D8</f>
        <v>0</v>
      </c>
      <c r="O9" s="3935">
        <v>1</v>
      </c>
      <c r="Q9" s="3933">
        <f>'(0) 5. Resumen P y G (5 Ej.)'!G8</f>
        <v>0</v>
      </c>
      <c r="R9" s="3935">
        <v>1</v>
      </c>
      <c r="T9" s="3072"/>
      <c r="V9" s="3874" t="s">
        <v>537</v>
      </c>
      <c r="W9" s="3872" t="str">
        <f>'(0) 6. Mas Indicadores-Objetiv'!D6</f>
        <v/>
      </c>
      <c r="X9" s="3021"/>
      <c r="Y9" s="3872" t="str">
        <f>'(0) 6. Mas Indicadores-Objetiv'!E6</f>
        <v/>
      </c>
      <c r="Z9" s="229"/>
    </row>
    <row r="10" spans="3:27" ht="16.5" customHeight="1" thickBot="1">
      <c r="C10" s="3074" t="s">
        <v>323</v>
      </c>
      <c r="D10" s="3088"/>
      <c r="E10" s="3928"/>
      <c r="G10" s="3925"/>
      <c r="I10" s="3926"/>
      <c r="K10" s="3072"/>
      <c r="M10" s="3921"/>
      <c r="N10" s="3934"/>
      <c r="O10" s="3936"/>
      <c r="Q10" s="3934"/>
      <c r="R10" s="3936"/>
      <c r="T10" s="3072"/>
      <c r="V10" s="3875"/>
      <c r="W10" s="3873"/>
      <c r="X10" s="3021"/>
      <c r="Y10" s="3873"/>
      <c r="Z10" s="229"/>
    </row>
    <row r="11" spans="3:27" ht="16.5" customHeight="1">
      <c r="C11" s="3079" t="s">
        <v>324</v>
      </c>
      <c r="D11" s="3089"/>
      <c r="E11" s="3903">
        <f>'(0) 4. Resumen Balances (5 Ej.)'!C15</f>
        <v>0</v>
      </c>
      <c r="G11" s="3905">
        <f>'(0) 4. Resumen Balances (5 Ej.)'!E15</f>
        <v>0</v>
      </c>
      <c r="I11" s="3905">
        <f>'(0) 4. Resumen Balances (5 Ej.)'!G15</f>
        <v>0</v>
      </c>
      <c r="K11" s="3072"/>
      <c r="M11" s="3917" t="s">
        <v>330</v>
      </c>
      <c r="N11" s="3102"/>
      <c r="O11" s="3103"/>
      <c r="Q11" s="3937">
        <f>'(0) 5. Resumen P y G (5 Ej.)'!I8</f>
        <v>0</v>
      </c>
      <c r="R11" s="3938"/>
      <c r="T11" s="3072"/>
      <c r="V11" s="3879" t="s">
        <v>538</v>
      </c>
      <c r="W11" s="3881" t="str">
        <f>'(0) 6. Mas Indicadores-Objetiv'!D8</f>
        <v/>
      </c>
      <c r="X11" s="3021"/>
      <c r="Y11" s="3881" t="str">
        <f>'(0) 6. Mas Indicadores-Objetiv'!E8</f>
        <v/>
      </c>
      <c r="Z11" s="229"/>
    </row>
    <row r="12" spans="3:27" ht="16.5" customHeight="1" thickBot="1">
      <c r="C12" s="3085" t="s">
        <v>326</v>
      </c>
      <c r="D12" s="3090"/>
      <c r="E12" s="3904"/>
      <c r="G12" s="3906"/>
      <c r="I12" s="3906"/>
      <c r="K12" s="3072"/>
      <c r="M12" s="3918"/>
      <c r="N12" s="3104"/>
      <c r="O12" s="3105"/>
      <c r="Q12" s="3939"/>
      <c r="R12" s="3940"/>
      <c r="T12" s="3072"/>
      <c r="V12" s="3880"/>
      <c r="W12" s="3882"/>
      <c r="X12" s="3021"/>
      <c r="Y12" s="3882"/>
      <c r="Z12" s="229"/>
    </row>
    <row r="13" spans="3:27" ht="16.5" customHeight="1" thickTop="1">
      <c r="C13" s="3077" t="s">
        <v>329</v>
      </c>
      <c r="D13" s="3091"/>
      <c r="E13" s="3913">
        <f>E11+E9</f>
        <v>0</v>
      </c>
      <c r="G13" s="3907">
        <f>G9+G11</f>
        <v>0</v>
      </c>
      <c r="I13" s="3907">
        <f>I9+I11</f>
        <v>0</v>
      </c>
      <c r="K13" s="3072"/>
      <c r="M13" s="3919" t="s">
        <v>533</v>
      </c>
      <c r="N13" s="3941">
        <f>'(0) 5. Resumen P y G (5 Ej.)'!D18</f>
        <v>0</v>
      </c>
      <c r="O13" s="3943" t="str">
        <f>'(0) 5. Resumen P y G (5 Ej.)'!E18</f>
        <v/>
      </c>
      <c r="Q13" s="3941">
        <f>'(0) 5. Resumen P y G (5 Ej.)'!G18</f>
        <v>0</v>
      </c>
      <c r="R13" s="3943" t="str">
        <f>'(0) 5. Resumen P y G (5 Ej.)'!H18</f>
        <v/>
      </c>
      <c r="T13" s="3072"/>
      <c r="V13" s="3876" t="s">
        <v>547</v>
      </c>
      <c r="W13" s="3870" t="str">
        <f>'(0) 6. Mas Indicadores-Objetiv'!D15</f>
        <v/>
      </c>
      <c r="X13" s="3021"/>
      <c r="Y13" s="3870" t="str">
        <f>'(0) 6. Mas Indicadores-Objetiv'!E15</f>
        <v/>
      </c>
      <c r="Z13" s="229"/>
    </row>
    <row r="14" spans="3:27" ht="16.5" customHeight="1" thickBot="1">
      <c r="C14" s="3076" t="s">
        <v>331</v>
      </c>
      <c r="D14" s="3092"/>
      <c r="E14" s="3908"/>
      <c r="G14" s="3908"/>
      <c r="I14" s="3908"/>
      <c r="K14" s="3072"/>
      <c r="M14" s="3919"/>
      <c r="N14" s="3955"/>
      <c r="O14" s="3966"/>
      <c r="Q14" s="3942"/>
      <c r="R14" s="3944"/>
      <c r="T14" s="3072"/>
      <c r="V14" s="3877"/>
      <c r="W14" s="3871"/>
      <c r="X14" s="3021"/>
      <c r="Y14" s="3871"/>
      <c r="Z14" s="229"/>
    </row>
    <row r="15" spans="3:27" ht="22.5" customHeight="1">
      <c r="C15" s="3086" t="s">
        <v>332</v>
      </c>
      <c r="D15" s="3093" t="s">
        <v>794</v>
      </c>
      <c r="E15" s="3098">
        <f>'(0) 4. Resumen Balances (5 Ej.)'!B19</f>
        <v>0</v>
      </c>
      <c r="G15" s="3099">
        <f>'(0) 4. Resumen Balances (5 Ej.)'!D19</f>
        <v>0</v>
      </c>
      <c r="I15" s="3099">
        <f>'(0) 4. Resumen Balances (5 Ej.)'!F19</f>
        <v>0</v>
      </c>
      <c r="K15" s="3072"/>
      <c r="M15" s="3922" t="s">
        <v>307</v>
      </c>
      <c r="N15" s="3956">
        <f>'(0) 5. Resumen P y G (5 Ej.)'!D35</f>
        <v>0</v>
      </c>
      <c r="O15" s="3960" t="str">
        <f>'(0) 5. Resumen P y G (5 Ej.)'!E35</f>
        <v/>
      </c>
      <c r="Q15" s="3956">
        <f>'(0) 5. Resumen P y G (5 Ej.)'!G35</f>
        <v>0</v>
      </c>
      <c r="R15" s="3960" t="str">
        <f>'(0) 5. Resumen P y G (5 Ej.)'!H35</f>
        <v/>
      </c>
      <c r="T15" s="3072"/>
      <c r="V15" s="3878" t="s">
        <v>539</v>
      </c>
      <c r="W15" s="3868" t="str">
        <f>'(0) 6. Mas Indicadores-Objetiv'!D19</f>
        <v/>
      </c>
      <c r="X15" s="3021"/>
      <c r="Y15" s="3868" t="str">
        <f>'(0) 6. Mas Indicadores-Objetiv'!E19</f>
        <v/>
      </c>
      <c r="Z15" s="229"/>
    </row>
    <row r="16" spans="3:27" ht="16.5" customHeight="1" thickBot="1">
      <c r="C16" s="3077" t="s">
        <v>333</v>
      </c>
      <c r="D16" s="3091"/>
      <c r="E16" s="3909">
        <f>E18+E20</f>
        <v>0</v>
      </c>
      <c r="G16" s="3909">
        <f>G18+G20</f>
        <v>0</v>
      </c>
      <c r="I16" s="3909">
        <f>I18+I20</f>
        <v>0</v>
      </c>
      <c r="K16" s="3072"/>
      <c r="M16" s="3923"/>
      <c r="N16" s="3957"/>
      <c r="O16" s="3967"/>
      <c r="Q16" s="3970"/>
      <c r="R16" s="3961"/>
      <c r="T16" s="3072"/>
      <c r="V16" s="3869"/>
      <c r="W16" s="3869"/>
      <c r="X16" s="3021"/>
      <c r="Y16" s="3869"/>
      <c r="Z16" s="229"/>
    </row>
    <row r="17" spans="3:26" ht="16.5" customHeight="1" thickBot="1">
      <c r="C17" s="3076" t="s">
        <v>334</v>
      </c>
      <c r="D17" s="3092"/>
      <c r="E17" s="3910"/>
      <c r="G17" s="3910"/>
      <c r="I17" s="3910"/>
      <c r="K17" s="3072"/>
      <c r="M17" s="3958" t="s">
        <v>534</v>
      </c>
      <c r="N17" s="3949">
        <f>'(0) 5. Resumen P y G (5 Ej.)'!D38</f>
        <v>0</v>
      </c>
      <c r="O17" s="3950" t="str">
        <f>'(0) 5. Resumen P y G (5 Ej.)'!E38</f>
        <v/>
      </c>
      <c r="Q17" s="3949">
        <f>'(0) 5. Resumen P y G (5 Ej.)'!G38</f>
        <v>0</v>
      </c>
      <c r="R17" s="3950" t="str">
        <f>'(0) 5. Resumen P y G (5 Ej.)'!H38</f>
        <v/>
      </c>
      <c r="T17" s="3072"/>
      <c r="V17" s="3878" t="s">
        <v>540</v>
      </c>
      <c r="W17" s="3868" t="str">
        <f>'(0) 6. Mas Indicadores-Objetiv'!D21</f>
        <v/>
      </c>
      <c r="X17" s="3021"/>
      <c r="Y17" s="3868" t="str">
        <f>'(0) 6. Mas Indicadores-Objetiv'!E21</f>
        <v/>
      </c>
      <c r="Z17" s="229"/>
    </row>
    <row r="18" spans="3:26" ht="16.5" customHeight="1" thickTop="1" thickBot="1">
      <c r="C18" s="3083" t="s">
        <v>308</v>
      </c>
      <c r="D18" s="3094"/>
      <c r="E18" s="3914">
        <f>'(0) 4. Resumen Balances (5 Ej.)'!C20</f>
        <v>0</v>
      </c>
      <c r="G18" s="3899">
        <f>'(0) 4. Resumen Balances (5 Ej.)'!E20</f>
        <v>0</v>
      </c>
      <c r="I18" s="3899">
        <f>'(0) 4. Resumen Balances (5 Ej.)'!G20</f>
        <v>0</v>
      </c>
      <c r="K18" s="3072"/>
      <c r="M18" s="3959"/>
      <c r="N18" s="3949"/>
      <c r="O18" s="3950"/>
      <c r="Q18" s="3949"/>
      <c r="R18" s="3950"/>
      <c r="T18" s="3072"/>
      <c r="V18" s="3885"/>
      <c r="W18" s="3891"/>
      <c r="X18" s="3021"/>
      <c r="Y18" s="3891"/>
      <c r="Z18" s="229"/>
    </row>
    <row r="19" spans="3:26" ht="16.5" customHeight="1" thickTop="1">
      <c r="C19" s="3084" t="s">
        <v>335</v>
      </c>
      <c r="D19" s="3095"/>
      <c r="E19" s="3915"/>
      <c r="G19" s="3900"/>
      <c r="I19" s="3900"/>
      <c r="K19" s="3072"/>
      <c r="M19" s="3945" t="s">
        <v>535</v>
      </c>
      <c r="N19" s="3951">
        <f>'(0) 5. Resumen P y G (5 Ej.)'!D46</f>
        <v>0</v>
      </c>
      <c r="O19" s="3953" t="str">
        <f>'(0) 5. Resumen P y G (5 Ej.)'!E46</f>
        <v/>
      </c>
      <c r="Q19" s="3951">
        <f>'(0) 5. Resumen P y G (5 Ej.)'!G46</f>
        <v>0</v>
      </c>
      <c r="R19" s="3953" t="str">
        <f>'(0) 5. Resumen P y G (5 Ej.)'!H46</f>
        <v/>
      </c>
      <c r="T19" s="3072"/>
      <c r="V19" s="3886" t="s">
        <v>564</v>
      </c>
      <c r="W19" s="3883" t="str">
        <f>IF('(0) 5. Resumen P y G (5 Ej.)'!D17=0,"",'(0) 6. Mas Indicadores-Objetiv'!D37)</f>
        <v/>
      </c>
      <c r="X19" s="3134"/>
      <c r="Y19" s="3883" t="str">
        <f>IF('(0) 5. Resumen P y G (5 Ej.)'!G17=0,"",'(0) 6. Mas Indicadores-Objetiv'!E37)</f>
        <v/>
      </c>
      <c r="Z19" s="229"/>
    </row>
    <row r="20" spans="3:26" ht="16.5" customHeight="1" thickBot="1">
      <c r="C20" s="3080" t="s">
        <v>336</v>
      </c>
      <c r="D20" s="3096"/>
      <c r="E20" s="3911">
        <f>'(0) 4. Resumen Balances (5 Ej.)'!C28+'(0) 4. Resumen Balances (5 Ej.)'!C32</f>
        <v>0</v>
      </c>
      <c r="G20" s="3901">
        <f>'(0) 4. Resumen Balances (5 Ej.)'!E28+'(0) 4. Resumen Balances (5 Ej.)'!E32</f>
        <v>0</v>
      </c>
      <c r="I20" s="3901">
        <f>'(0) 4. Resumen Balances (5 Ej.)'!G28+'(0) 4. Resumen Balances (5 Ej.)'!G32</f>
        <v>0</v>
      </c>
      <c r="K20" s="3072"/>
      <c r="M20" s="3946"/>
      <c r="N20" s="3952"/>
      <c r="O20" s="3954"/>
      <c r="Q20" s="3952"/>
      <c r="R20" s="3954"/>
      <c r="T20" s="3072"/>
      <c r="V20" s="3887"/>
      <c r="W20" s="3892"/>
      <c r="X20" s="3135"/>
      <c r="Y20" s="3884"/>
      <c r="Z20" s="229"/>
    </row>
    <row r="21" spans="3:26" ht="16.5" customHeight="1" thickBot="1">
      <c r="C21" s="3075" t="s">
        <v>337</v>
      </c>
      <c r="D21" s="3097"/>
      <c r="E21" s="3912"/>
      <c r="G21" s="3902"/>
      <c r="I21" s="3902"/>
      <c r="K21" s="3072"/>
      <c r="M21" s="229"/>
      <c r="N21" s="3021"/>
      <c r="O21" s="3101"/>
      <c r="Q21" s="3021"/>
      <c r="R21" s="3106"/>
      <c r="T21" s="3072"/>
      <c r="V21" s="3888" t="s">
        <v>541</v>
      </c>
      <c r="W21" s="3893" t="str">
        <f>IF('10. Indicadores (Ej 1º,2º)'!W19="","",'(0) 6. Mas Indicadores-Objetiv'!D39)</f>
        <v/>
      </c>
      <c r="X21" s="3021"/>
      <c r="Y21" s="3893" t="str">
        <f>IF('10. Indicadores (Ej 1º,2º)'!Y19="","",'(0) 6. Mas Indicadores-Objetiv'!E39)</f>
        <v/>
      </c>
      <c r="Z21" s="229"/>
    </row>
    <row r="22" spans="3:26" ht="16.5" customHeight="1" thickBot="1">
      <c r="K22" s="3072"/>
      <c r="M22" s="3947" t="s">
        <v>536</v>
      </c>
      <c r="N22" s="3964">
        <f>'(0) 5. Resumen P y G (5 Ej.)'!D49</f>
        <v>0</v>
      </c>
      <c r="O22" s="3962" t="str">
        <f>'(0) 5. Resumen P y G (5 Ej.)'!E49</f>
        <v/>
      </c>
      <c r="Q22" s="3964">
        <f>'(0) 5. Resumen P y G (5 Ej.)'!G49</f>
        <v>0</v>
      </c>
      <c r="R22" s="3962" t="str">
        <f>'(0) 5. Resumen P y G (5 Ej.)'!H49</f>
        <v/>
      </c>
      <c r="T22" s="3072"/>
      <c r="V22" s="3887"/>
      <c r="W22" s="3894"/>
      <c r="X22" s="3021"/>
      <c r="Y22" s="3894"/>
      <c r="Z22" s="229"/>
    </row>
    <row r="23" spans="3:26" ht="16.5" customHeight="1" thickBot="1">
      <c r="C23" s="3147" t="s">
        <v>49</v>
      </c>
      <c r="D23" s="3148"/>
      <c r="E23" s="3149">
        <f>('9. Abrev Balan-CtaR (Ej 1º,2º)'!D28-'9. Abrev Balan-CtaR (Ej 1º,2º)'!D10)</f>
        <v>0</v>
      </c>
      <c r="G23" s="3149">
        <f>('9. Abrev Balan-CtaR (Ej 1º,2º)'!G28-'9. Abrev Balan-CtaR (Ej 1º,2º)'!G10)</f>
        <v>0</v>
      </c>
      <c r="I23" s="3149">
        <f>('9. Abrev Balan-CtaR (Ej 1º,2º)'!J28-'9. Abrev Balan-CtaR (Ej 1º,2º)'!J10)</f>
        <v>0</v>
      </c>
      <c r="K23" s="3072"/>
      <c r="M23" s="3948"/>
      <c r="N23" s="3965"/>
      <c r="O23" s="3968"/>
      <c r="Q23" s="3969"/>
      <c r="R23" s="3963"/>
      <c r="T23" s="3072"/>
      <c r="V23" s="3889" t="s">
        <v>542</v>
      </c>
      <c r="W23" s="3895" t="str">
        <f>IF(('(0) 5. Resumen P y G (5 Ej.)'!D49+'(0) 5. Resumen P y G (5 Ej.)'!G49+'(0) 5. Resumen P y G (5 Ej.)'!J49+'(0) 5. Resumen P y G (5 Ej.)'!M49+'(0) 5. Resumen P y G (5 Ej.)'!P49)=0,"",'(0) 6. Mas Indicadores-Objetiv'!D30)</f>
        <v/>
      </c>
      <c r="X23" s="3136"/>
      <c r="Y23" s="3897" t="s">
        <v>342</v>
      </c>
      <c r="Z23" s="229"/>
    </row>
    <row r="24" spans="3:26" ht="16.5" customHeight="1" thickBot="1">
      <c r="C24" s="3226" t="s">
        <v>833</v>
      </c>
      <c r="D24" s="3227"/>
      <c r="E24" s="3150">
        <f>'9. Abrev Balan-CtaR (Ej 1º,2º)'!E28-'9. Abrev Balan-CtaR (Ej 1º,2º)'!E10</f>
        <v>0</v>
      </c>
      <c r="G24" s="3150">
        <f>'9. Abrev Balan-CtaR (Ej 1º,2º)'!H28-'9. Abrev Balan-CtaR (Ej 1º,2º)'!H10</f>
        <v>0</v>
      </c>
      <c r="I24" s="3150">
        <f>'9. Abrev Balan-CtaR (Ej 1º,2º)'!K28-'9. Abrev Balan-CtaR (Ej 1º,2º)'!K10</f>
        <v>0</v>
      </c>
      <c r="K24" s="3072"/>
      <c r="T24" s="3072"/>
      <c r="V24" s="3890"/>
      <c r="W24" s="3896"/>
      <c r="X24" s="3137"/>
      <c r="Y24" s="3898"/>
      <c r="Z24" s="3231"/>
    </row>
    <row r="25" spans="3:26" ht="16.5" customHeight="1">
      <c r="K25" s="3072"/>
      <c r="M25" s="3108" t="s">
        <v>338</v>
      </c>
      <c r="T25" s="3072"/>
      <c r="Z25" s="3231"/>
    </row>
    <row r="26" spans="3:26" ht="16.5" customHeight="1">
      <c r="K26" s="3072"/>
      <c r="M26" s="3108" t="s">
        <v>339</v>
      </c>
      <c r="T26" s="3072"/>
      <c r="W26" s="3021"/>
      <c r="X26" s="3021"/>
      <c r="Y26" s="3021"/>
    </row>
    <row r="27" spans="3:26" ht="16.5" customHeight="1">
      <c r="K27" s="3072"/>
      <c r="M27" s="3108" t="s">
        <v>340</v>
      </c>
      <c r="T27" s="3072"/>
    </row>
    <row r="28" spans="3:26" ht="17.25" customHeight="1">
      <c r="K28" s="3072"/>
      <c r="M28" s="3108" t="s">
        <v>341</v>
      </c>
      <c r="T28" s="3072"/>
    </row>
    <row r="29" spans="3:26" ht="16.5" customHeight="1">
      <c r="T29" s="1415"/>
      <c r="W29" s="3021"/>
      <c r="X29" s="3021"/>
      <c r="Y29" s="3021"/>
    </row>
    <row r="30" spans="3:26" ht="16.5" customHeight="1">
      <c r="T30" s="1415"/>
    </row>
    <row r="31" spans="3:26" ht="16.5" customHeight="1">
      <c r="T31" s="1415"/>
    </row>
    <row r="32" spans="3:26" ht="21.75" customHeight="1"/>
  </sheetData>
  <sheetProtection sheet="1" objects="1" scenarios="1"/>
  <mergeCells count="79">
    <mergeCell ref="R15:R16"/>
    <mergeCell ref="R22:R23"/>
    <mergeCell ref="N22:N23"/>
    <mergeCell ref="O13:O14"/>
    <mergeCell ref="O15:O16"/>
    <mergeCell ref="O22:O23"/>
    <mergeCell ref="Q17:Q18"/>
    <mergeCell ref="R17:R18"/>
    <mergeCell ref="Q19:Q20"/>
    <mergeCell ref="R19:R20"/>
    <mergeCell ref="Q22:Q23"/>
    <mergeCell ref="Q15:Q16"/>
    <mergeCell ref="M19:M20"/>
    <mergeCell ref="M22:M23"/>
    <mergeCell ref="N9:N10"/>
    <mergeCell ref="O9:O10"/>
    <mergeCell ref="N17:N18"/>
    <mergeCell ref="O17:O18"/>
    <mergeCell ref="N19:N20"/>
    <mergeCell ref="O19:O20"/>
    <mergeCell ref="N13:N14"/>
    <mergeCell ref="N15:N16"/>
    <mergeCell ref="M17:M18"/>
    <mergeCell ref="C4:I4"/>
    <mergeCell ref="M11:M12"/>
    <mergeCell ref="M13:M14"/>
    <mergeCell ref="M9:M10"/>
    <mergeCell ref="M15:M16"/>
    <mergeCell ref="M4:R4"/>
    <mergeCell ref="G9:G10"/>
    <mergeCell ref="I9:I10"/>
    <mergeCell ref="E9:E10"/>
    <mergeCell ref="N8:O8"/>
    <mergeCell ref="Q8:R8"/>
    <mergeCell ref="Q9:Q10"/>
    <mergeCell ref="R9:R10"/>
    <mergeCell ref="Q11:R12"/>
    <mergeCell ref="Q13:Q14"/>
    <mergeCell ref="R13:R14"/>
    <mergeCell ref="G18:G19"/>
    <mergeCell ref="G20:G21"/>
    <mergeCell ref="I18:I19"/>
    <mergeCell ref="I20:I21"/>
    <mergeCell ref="E11:E12"/>
    <mergeCell ref="G11:G12"/>
    <mergeCell ref="G13:G14"/>
    <mergeCell ref="G16:G17"/>
    <mergeCell ref="I16:I17"/>
    <mergeCell ref="I13:I14"/>
    <mergeCell ref="I11:I12"/>
    <mergeCell ref="E20:E21"/>
    <mergeCell ref="E13:E14"/>
    <mergeCell ref="E18:E19"/>
    <mergeCell ref="E16:E17"/>
    <mergeCell ref="Y19:Y20"/>
    <mergeCell ref="V17:V18"/>
    <mergeCell ref="V19:V20"/>
    <mergeCell ref="V21:V22"/>
    <mergeCell ref="V23:V24"/>
    <mergeCell ref="W17:W18"/>
    <mergeCell ref="W19:W20"/>
    <mergeCell ref="W21:W22"/>
    <mergeCell ref="W23:W24"/>
    <mergeCell ref="Y23:Y24"/>
    <mergeCell ref="Y21:Y22"/>
    <mergeCell ref="Y17:Y18"/>
    <mergeCell ref="V4:Y4"/>
    <mergeCell ref="Y15:Y16"/>
    <mergeCell ref="Y13:Y14"/>
    <mergeCell ref="Y9:Y10"/>
    <mergeCell ref="V9:V10"/>
    <mergeCell ref="V13:V14"/>
    <mergeCell ref="V15:V16"/>
    <mergeCell ref="W9:W10"/>
    <mergeCell ref="W13:W14"/>
    <mergeCell ref="W15:W16"/>
    <mergeCell ref="V11:V12"/>
    <mergeCell ref="W11:W12"/>
    <mergeCell ref="Y11:Y12"/>
  </mergeCells>
  <dataValidations count="1">
    <dataValidation allowBlank="1" showInputMessage="1" sqref="C4 M4 V4"/>
  </dataValidations>
  <printOptions horizontalCentered="1" verticalCentered="1"/>
  <pageMargins left="0.51181102362204722" right="0.31496062992125984" top="0.35433070866141736" bottom="0.35433070866141736" header="0.31496062992125984" footer="0.31496062992125984"/>
  <pageSetup paperSize="9" scale="55" orientation="landscape" r:id="rId1"/>
  <headerFooter>
    <oddFooter>&amp;A</oddFooter>
  </headerFooter>
  <colBreaks count="1" manualBreakCount="1">
    <brk id="1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G33"/>
  <sheetViews>
    <sheetView showGridLines="0" topLeftCell="A3" zoomScale="90" zoomScaleNormal="90" zoomScaleSheetLayoutView="50" workbookViewId="0">
      <selection activeCell="D11" sqref="D11"/>
    </sheetView>
  </sheetViews>
  <sheetFormatPr baseColWidth="10" defaultRowHeight="12.75"/>
  <cols>
    <col min="1" max="1" width="5.5" style="121" customWidth="1"/>
    <col min="2" max="3" width="72" style="121" customWidth="1"/>
    <col min="4" max="4" width="24" style="135" customWidth="1"/>
    <col min="5" max="5" width="23.6640625" style="121" customWidth="1"/>
    <col min="6" max="6" width="42.6640625" style="121" customWidth="1"/>
    <col min="7" max="7" width="42.33203125" style="121" customWidth="1"/>
    <col min="8" max="8" width="1.33203125" style="121" customWidth="1"/>
    <col min="9" max="16384" width="12" style="121"/>
  </cols>
  <sheetData>
    <row r="1" spans="1:7" ht="10.5" customHeight="1"/>
    <row r="2" spans="1:7" ht="11.25" customHeight="1">
      <c r="B2" s="137" t="str">
        <f>IF('1.Datos Básicos. Product-Serv'!B5="","",'1.Datos Básicos. Product-Serv'!B5)</f>
        <v/>
      </c>
    </row>
    <row r="3" spans="1:7" ht="15.75" customHeight="1" thickBot="1"/>
    <row r="4" spans="1:7" ht="21.75" customHeight="1" thickTop="1" thickBot="1">
      <c r="B4" s="3338" t="s">
        <v>814</v>
      </c>
      <c r="C4" s="3339"/>
      <c r="F4" s="3334" t="s">
        <v>815</v>
      </c>
      <c r="G4" s="3335"/>
    </row>
    <row r="5" spans="1:7" ht="21.75" customHeight="1" thickTop="1">
      <c r="B5" s="3141" t="s">
        <v>802</v>
      </c>
      <c r="C5" s="3142" t="s">
        <v>807</v>
      </c>
      <c r="F5" s="3144" t="s">
        <v>571</v>
      </c>
      <c r="G5" s="3145" t="s">
        <v>615</v>
      </c>
    </row>
    <row r="6" spans="1:7" ht="21.75" customHeight="1">
      <c r="A6" s="135"/>
      <c r="B6" s="3138" t="s">
        <v>803</v>
      </c>
      <c r="C6" s="3142" t="s">
        <v>808</v>
      </c>
      <c r="F6" s="3144" t="s">
        <v>570</v>
      </c>
      <c r="G6" s="3145" t="s">
        <v>575</v>
      </c>
    </row>
    <row r="7" spans="1:7" ht="21.75" customHeight="1">
      <c r="B7" s="3139" t="s">
        <v>804</v>
      </c>
      <c r="C7" s="3142" t="s">
        <v>809</v>
      </c>
      <c r="F7" s="3146" t="s">
        <v>573</v>
      </c>
      <c r="G7" s="3145" t="s">
        <v>574</v>
      </c>
    </row>
    <row r="8" spans="1:7" ht="21.75" customHeight="1" thickBot="1">
      <c r="B8" s="3139" t="s">
        <v>805</v>
      </c>
      <c r="C8" s="3142" t="s">
        <v>810</v>
      </c>
      <c r="F8" s="3184" t="s">
        <v>572</v>
      </c>
      <c r="G8" s="3186" t="s">
        <v>843</v>
      </c>
    </row>
    <row r="9" spans="1:7" ht="21.75" customHeight="1" thickTop="1" thickBot="1">
      <c r="B9" s="3140" t="s">
        <v>806</v>
      </c>
      <c r="C9" s="3143" t="s">
        <v>836</v>
      </c>
      <c r="F9" s="3185"/>
      <c r="G9" s="3185"/>
    </row>
    <row r="10" spans="1:7" ht="21.75" hidden="1" customHeight="1" thickTop="1" thickBot="1">
      <c r="B10" s="1290"/>
      <c r="C10" s="1291"/>
    </row>
    <row r="11" spans="1:7" ht="13.5" thickTop="1"/>
    <row r="12" spans="1:7" ht="13.5" thickBot="1"/>
    <row r="13" spans="1:7" ht="24.75" customHeight="1" thickTop="1" thickBot="1">
      <c r="B13" s="3336" t="s">
        <v>816</v>
      </c>
      <c r="C13" s="3337"/>
      <c r="D13" s="2707"/>
    </row>
    <row r="14" spans="1:7" s="2708" customFormat="1" ht="24" customHeight="1" thickTop="1">
      <c r="B14" s="3330" t="s">
        <v>817</v>
      </c>
      <c r="C14" s="3331"/>
      <c r="D14" s="2709"/>
    </row>
    <row r="15" spans="1:7" s="2708" customFormat="1" ht="30" customHeight="1">
      <c r="B15" s="3330" t="s">
        <v>818</v>
      </c>
      <c r="C15" s="3331"/>
      <c r="D15" s="2709"/>
    </row>
    <row r="16" spans="1:7" s="2708" customFormat="1" ht="21" customHeight="1">
      <c r="B16" s="3330" t="s">
        <v>819</v>
      </c>
      <c r="C16" s="3331"/>
      <c r="D16" s="2709"/>
    </row>
    <row r="17" spans="2:4" s="2708" customFormat="1" ht="7.5" customHeight="1">
      <c r="B17" s="3330"/>
      <c r="C17" s="3331"/>
      <c r="D17" s="2709"/>
    </row>
    <row r="18" spans="2:4" s="2708" customFormat="1" ht="21.75" customHeight="1">
      <c r="B18" s="3340" t="s">
        <v>765</v>
      </c>
      <c r="C18" s="3341"/>
      <c r="D18" s="2710"/>
    </row>
    <row r="19" spans="2:4" s="2708" customFormat="1" ht="22.5" customHeight="1">
      <c r="B19" s="3330" t="s">
        <v>766</v>
      </c>
      <c r="C19" s="3331"/>
      <c r="D19" s="2709"/>
    </row>
    <row r="20" spans="2:4" s="2708" customFormat="1" ht="32.25" customHeight="1">
      <c r="B20" s="3330" t="s">
        <v>767</v>
      </c>
      <c r="C20" s="3331"/>
      <c r="D20" s="2709"/>
    </row>
    <row r="21" spans="2:4" s="2708" customFormat="1" ht="7.5" customHeight="1">
      <c r="B21" s="3330"/>
      <c r="C21" s="3331"/>
      <c r="D21" s="2709"/>
    </row>
    <row r="22" spans="2:4" s="2708" customFormat="1" ht="20.25" customHeight="1">
      <c r="B22" s="3330" t="s">
        <v>768</v>
      </c>
      <c r="C22" s="3331"/>
      <c r="D22" s="2709"/>
    </row>
    <row r="23" spans="2:4" s="2708" customFormat="1" ht="22.5" customHeight="1">
      <c r="B23" s="3330" t="s">
        <v>195</v>
      </c>
      <c r="C23" s="3331"/>
      <c r="D23" s="2709"/>
    </row>
    <row r="24" spans="2:4" s="2708" customFormat="1" ht="7.5" customHeight="1">
      <c r="B24" s="3330"/>
      <c r="C24" s="3331"/>
      <c r="D24" s="2709"/>
    </row>
    <row r="25" spans="2:4" s="2708" customFormat="1" ht="28.5" customHeight="1">
      <c r="B25" s="3330" t="s">
        <v>769</v>
      </c>
      <c r="C25" s="3331"/>
      <c r="D25" s="2709"/>
    </row>
    <row r="26" spans="2:4" s="2708" customFormat="1" ht="7.5" customHeight="1">
      <c r="B26" s="3330"/>
      <c r="C26" s="3331"/>
      <c r="D26" s="2709"/>
    </row>
    <row r="27" spans="2:4" s="2708" customFormat="1" ht="20.25" customHeight="1">
      <c r="B27" s="3330" t="s">
        <v>820</v>
      </c>
      <c r="C27" s="3331"/>
      <c r="D27" s="2709"/>
    </row>
    <row r="28" spans="2:4" s="2708" customFormat="1" ht="7.5" customHeight="1">
      <c r="B28" s="2711"/>
      <c r="C28" s="2712"/>
      <c r="D28" s="2709"/>
    </row>
    <row r="29" spans="2:4" s="2708" customFormat="1" ht="18.75" customHeight="1">
      <c r="B29" s="3332" t="s">
        <v>413</v>
      </c>
      <c r="C29" s="3333"/>
      <c r="D29" s="2710"/>
    </row>
    <row r="30" spans="2:4" s="2708" customFormat="1" ht="7.5" customHeight="1">
      <c r="B30" s="2711"/>
      <c r="C30" s="2712"/>
      <c r="D30" s="2709"/>
    </row>
    <row r="31" spans="2:4" s="2708" customFormat="1" ht="32.25" customHeight="1" thickBot="1">
      <c r="B31" s="3328" t="s">
        <v>821</v>
      </c>
      <c r="C31" s="3329"/>
      <c r="D31" s="2709"/>
    </row>
    <row r="32" spans="2:4" ht="7.5" hidden="1" customHeight="1">
      <c r="B32" s="3326"/>
      <c r="C32" s="3327"/>
      <c r="D32" s="1125"/>
    </row>
    <row r="33" ht="13.5" thickTop="1"/>
  </sheetData>
  <sheetProtection sheet="1" objects="1" scenarios="1"/>
  <mergeCells count="20">
    <mergeCell ref="B21:C21"/>
    <mergeCell ref="B23:C23"/>
    <mergeCell ref="B20:C20"/>
    <mergeCell ref="B27:C27"/>
    <mergeCell ref="F4:G4"/>
    <mergeCell ref="B17:C17"/>
    <mergeCell ref="B19:C19"/>
    <mergeCell ref="B13:C13"/>
    <mergeCell ref="B15:C15"/>
    <mergeCell ref="B4:C4"/>
    <mergeCell ref="B14:C14"/>
    <mergeCell ref="B16:C16"/>
    <mergeCell ref="B18:C18"/>
    <mergeCell ref="B32:C32"/>
    <mergeCell ref="B31:C31"/>
    <mergeCell ref="B26:C26"/>
    <mergeCell ref="B25:C25"/>
    <mergeCell ref="B22:C22"/>
    <mergeCell ref="B24:C24"/>
    <mergeCell ref="B29:C29"/>
  </mergeCells>
  <phoneticPr fontId="9" type="noConversion"/>
  <hyperlinks>
    <hyperlink ref="B7" location="'3.Costes D.V. y Pagos (1º,2º)'!A1" display="3. RRHH (Ej 1º,2º)"/>
    <hyperlink ref="B8" location="'4.Costes Mk y Métricas (1º,2º)'!A1" display="4. P y G (Ej 1º,2º)"/>
    <hyperlink ref="B9" location="'5. Costes RRHH (Ej 1º,2º)'!A1" display="5. Plan Invers-Financ (1º,2º)"/>
    <hyperlink ref="C5" location="'6. P y G (Ej 1º,2º)'!A1" display="6. Plazos Cobros-Pagos (1º,2º)"/>
    <hyperlink ref="C6" location="'7. Plan Invers-Financ (1º,2º)'!A1" display="7. Tesorería (Ej 1º,2º)"/>
    <hyperlink ref="C7" location="'8. Tesorería (Ej 1º,2º)'!A1" display="8. Métricas (Ej 1º,2º)"/>
    <hyperlink ref="C8" location="'9. Abrev Balan-CtaR (Ej 1º,2º)'!A1" display="9. Gráficos (Ej 1º,2º)"/>
    <hyperlink ref="B5" location="'1.Datos Básicos. Product-Serv'!A1" display="   1. Datos Básicos - Familias"/>
    <hyperlink ref="B6" location="'2.Ventas y Cobros (Ej 1º,2º)'!A1" display="   2. Vtas, Costes V y Mk (Ej 1º,2º)"/>
    <hyperlink ref="G5" location="'(0) 3c. Cuadro Renting y L'!A1" display="(0) 3c. Cuadro Renting y L"/>
    <hyperlink ref="G6" location="'(0) 4. Resumen Balances (5 Ej.)'!Área_de_impresión" display="7. Tesorería (Ej 1º,2º)"/>
    <hyperlink ref="G7" location="'(0) 5. Resumen P y G (5 Ej.)'!A1" display="8. Métricas (Ej 1º,2º)"/>
    <hyperlink ref="G8" location="'(0) 6. Mas Indicadores-Objetiv'!A1" display="(0) 6. Mas Indicadores - Objetiv"/>
    <hyperlink ref="F5" location="'(0) 1a. Activos de Partida'!A1" display="(0) 1a. Activos de Partida"/>
    <hyperlink ref="F6" location="'(0) 1b. Pasivos de Partida'!A1" display="   (0) 1b. Pasivos de Partida"/>
    <hyperlink ref="C9" location="'10. Indicadores (Ej 1º,2º)'!A1" display="10. Indicadores (1º,2º)"/>
    <hyperlink ref="F7" location="'(0) 3a. Préstam Particip.'!A1" display="4. P y G (Ej 1º,2º)"/>
    <hyperlink ref="F8" location="'(0) 3b. Préstam Financ.'!A1" display="5. Plan Invers-Financ (1º,2º)"/>
  </hyperlinks>
  <printOptions horizontalCentered="1" verticalCentered="1"/>
  <pageMargins left="0.39370078740157483" right="0.39370078740157483" top="0.78740157480314965" bottom="0.78740157480314965" header="0" footer="0"/>
  <pageSetup paperSize="9" scale="71" orientation="landscape" horizontalDpi="4294967293" r:id="rId1"/>
  <headerFooter alignWithMargins="0">
    <oddFooter>&amp;A</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X77"/>
  <sheetViews>
    <sheetView zoomScale="70" zoomScaleNormal="70" zoomScaleSheetLayoutView="50" workbookViewId="0">
      <selection activeCell="B41" sqref="B41"/>
    </sheetView>
  </sheetViews>
  <sheetFormatPr baseColWidth="10" defaultColWidth="11.1640625" defaultRowHeight="16.5"/>
  <cols>
    <col min="1" max="1" width="58" style="726" customWidth="1"/>
    <col min="2" max="2" width="27.5" style="881" customWidth="1"/>
    <col min="3" max="3" width="14.83203125" style="980" customWidth="1"/>
    <col min="4" max="4" width="27.5" style="881" customWidth="1"/>
    <col min="5" max="5" width="15.83203125" style="881" customWidth="1"/>
    <col min="6" max="6" width="27.5" style="881" customWidth="1"/>
    <col min="7" max="7" width="14.83203125" style="881" customWidth="1"/>
    <col min="8" max="8" width="27.5" style="881" customWidth="1"/>
    <col min="9" max="9" width="14.83203125" style="881" customWidth="1"/>
    <col min="10" max="10" width="22.83203125" style="881" customWidth="1"/>
    <col min="11" max="11" width="14.83203125" style="881" customWidth="1"/>
    <col min="12" max="12" width="22.83203125" style="881" customWidth="1"/>
    <col min="13" max="13" width="14.83203125" style="881" customWidth="1"/>
    <col min="14" max="15" width="7.6640625" style="881" customWidth="1"/>
    <col min="16" max="16" width="9.6640625" style="881" customWidth="1"/>
    <col min="17" max="17" width="4.83203125" style="3054" customWidth="1"/>
    <col min="18" max="18" width="14.6640625" style="881" hidden="1" customWidth="1"/>
    <col min="19" max="19" width="22.33203125" style="881" hidden="1" customWidth="1"/>
    <col min="20" max="20" width="15.33203125" style="881" hidden="1" customWidth="1"/>
    <col min="21" max="21" width="22.33203125" style="881" hidden="1" customWidth="1"/>
    <col min="22" max="22" width="15" style="881" hidden="1" customWidth="1"/>
    <col min="23" max="23" width="22.1640625" style="881" hidden="1" customWidth="1"/>
    <col min="24" max="24" width="14.6640625" style="881" hidden="1" customWidth="1"/>
    <col min="25" max="16384" width="11.1640625" style="881"/>
  </cols>
  <sheetData>
    <row r="1" spans="1:24" ht="14.25" customHeight="1">
      <c r="A1" s="333" t="str">
        <f>IF('1.Datos Básicos. Product-Serv'!B5=0,"",'1.Datos Básicos. Product-Serv'!B5)</f>
        <v/>
      </c>
      <c r="B1" s="968"/>
      <c r="C1" s="881"/>
      <c r="D1" s="968"/>
      <c r="E1" s="968"/>
      <c r="F1" s="968"/>
      <c r="H1" s="291"/>
      <c r="I1" s="291"/>
      <c r="J1" s="291"/>
      <c r="K1" s="291"/>
      <c r="L1" s="291"/>
      <c r="M1" s="291"/>
    </row>
    <row r="2" spans="1:24" ht="14.25" customHeight="1">
      <c r="A2" s="339"/>
      <c r="B2" s="968"/>
      <c r="C2" s="881"/>
      <c r="D2" s="968"/>
      <c r="E2" s="968"/>
      <c r="F2" s="968"/>
      <c r="G2" s="339"/>
      <c r="H2" s="291"/>
      <c r="I2" s="291"/>
      <c r="J2" s="291"/>
      <c r="K2" s="291"/>
      <c r="L2" s="291"/>
      <c r="M2" s="969"/>
    </row>
    <row r="3" spans="1:24" ht="24.75" customHeight="1">
      <c r="A3" s="3993" t="s">
        <v>112</v>
      </c>
      <c r="B3" s="3994"/>
      <c r="C3" s="3994"/>
      <c r="D3" s="3994"/>
      <c r="E3" s="968"/>
      <c r="F3" s="968"/>
      <c r="G3" s="339"/>
      <c r="H3" s="291"/>
      <c r="I3" s="291"/>
      <c r="J3" s="291"/>
      <c r="K3" s="291"/>
      <c r="L3" s="291"/>
      <c r="M3" s="291"/>
      <c r="P3" s="992"/>
      <c r="Q3" s="2968"/>
      <c r="R3" s="2992"/>
      <c r="S3" s="3971" t="s">
        <v>586</v>
      </c>
      <c r="T3" s="3529"/>
      <c r="U3" s="3529"/>
      <c r="V3" s="3529"/>
      <c r="W3" s="3529"/>
      <c r="X3" s="3529"/>
    </row>
    <row r="4" spans="1:24" ht="18.75" customHeight="1" thickBot="1">
      <c r="A4" s="339"/>
      <c r="B4" s="970"/>
      <c r="C4" s="970"/>
      <c r="E4" s="970"/>
      <c r="F4" s="970"/>
      <c r="G4" s="971"/>
      <c r="H4" s="970"/>
      <c r="I4" s="971"/>
      <c r="J4" s="970"/>
      <c r="K4" s="971"/>
      <c r="L4" s="970"/>
      <c r="M4" s="971"/>
    </row>
    <row r="5" spans="1:24" s="973" customFormat="1" ht="23.25" customHeight="1" thickTop="1" thickBot="1">
      <c r="A5" s="972"/>
      <c r="B5" s="3987" t="str">
        <f>"Apertura 1º Ejerc. "&amp;'1.Datos Básicos. Product-Serv'!B11</f>
        <v>Apertura 1º Ejerc. 0</v>
      </c>
      <c r="C5" s="3987"/>
      <c r="D5" s="3987" t="str">
        <f>"Cierre 1º Ejerc. "&amp;'1.Datos Básicos. Product-Serv'!B11</f>
        <v>Cierre 1º Ejerc. 0</v>
      </c>
      <c r="E5" s="3987"/>
      <c r="F5" s="3987" t="str">
        <f>"Cierre 2º Ejerc. "&amp;'1.Datos Básicos. Product-Serv'!E11</f>
        <v>Cierre 2º Ejerc. 1</v>
      </c>
      <c r="G5" s="3987"/>
      <c r="H5" s="3987" t="str">
        <f>"Cierre 3º Ejerc. "&amp;'1.Datos Básicos. Product-Serv'!F11</f>
        <v>Cierre 3º Ejerc. 2</v>
      </c>
      <c r="I5" s="3987"/>
      <c r="J5" s="3987" t="str">
        <f>"Cierre 4º Ejerc. "&amp;'1.Datos Básicos. Product-Serv'!G11</f>
        <v>Cierre 4º Ejerc. 3</v>
      </c>
      <c r="K5" s="3987"/>
      <c r="L5" s="3987" t="str">
        <f>"Cierre 5º Ejerc. "&amp;'1.Datos Básicos. Product-Serv'!H11</f>
        <v>Cierre 5º Ejerc. 4</v>
      </c>
      <c r="M5" s="3988"/>
      <c r="Q5" s="3055"/>
      <c r="S5" s="3972" t="str">
        <f>"Cierre 3º Ejerc. "&amp;'1.Datos Básicos. Product-Serv'!F11</f>
        <v>Cierre 3º Ejerc. 2</v>
      </c>
      <c r="T5" s="3972"/>
      <c r="U5" s="3972" t="str">
        <f>"Cierre 4º Ejerc. "&amp;'1.Datos Básicos. Product-Serv'!G11</f>
        <v>Cierre 4º Ejerc. 3</v>
      </c>
      <c r="V5" s="3972"/>
      <c r="W5" s="3972" t="str">
        <f>"Cierre 5º Ejerc. "&amp;'1.Datos Básicos. Product-Serv'!H11</f>
        <v>Cierre 5º Ejerc. 4</v>
      </c>
      <c r="X5" s="3972"/>
    </row>
    <row r="6" spans="1:24" ht="18.75" customHeight="1" thickBot="1">
      <c r="A6" s="974"/>
      <c r="B6" s="1958" t="s">
        <v>157</v>
      </c>
      <c r="C6" s="1959" t="s">
        <v>37</v>
      </c>
      <c r="D6" s="1958" t="s">
        <v>157</v>
      </c>
      <c r="E6" s="1960" t="s">
        <v>37</v>
      </c>
      <c r="F6" s="1959" t="s">
        <v>157</v>
      </c>
      <c r="G6" s="1960" t="s">
        <v>37</v>
      </c>
      <c r="H6" s="1959" t="s">
        <v>157</v>
      </c>
      <c r="I6" s="1960" t="s">
        <v>37</v>
      </c>
      <c r="J6" s="1959" t="s">
        <v>157</v>
      </c>
      <c r="K6" s="1960" t="s">
        <v>37</v>
      </c>
      <c r="L6" s="1959" t="s">
        <v>157</v>
      </c>
      <c r="M6" s="1961" t="s">
        <v>37</v>
      </c>
      <c r="S6" s="1988" t="s">
        <v>157</v>
      </c>
      <c r="T6" s="1989" t="s">
        <v>37</v>
      </c>
      <c r="U6" s="1988" t="s">
        <v>157</v>
      </c>
      <c r="V6" s="1989" t="s">
        <v>37</v>
      </c>
      <c r="W6" s="1988" t="s">
        <v>157</v>
      </c>
      <c r="X6" s="1989" t="s">
        <v>37</v>
      </c>
    </row>
    <row r="7" spans="1:24" ht="18.75" customHeight="1">
      <c r="A7" s="1971" t="s">
        <v>119</v>
      </c>
      <c r="B7" s="1972">
        <f>SUM(B8:B14)</f>
        <v>0</v>
      </c>
      <c r="C7" s="1973">
        <f>IF(B$19&gt;0,B7/B$19,0)</f>
        <v>0</v>
      </c>
      <c r="D7" s="1972">
        <f>SUM(D8:D14)</f>
        <v>0</v>
      </c>
      <c r="E7" s="1973">
        <f>IF(D$19&gt;0,D7/D$19,0)</f>
        <v>0</v>
      </c>
      <c r="F7" s="1972">
        <f>SUM(F8:F14)</f>
        <v>0</v>
      </c>
      <c r="G7" s="1973">
        <f>IF(F$19&gt;0,F7/F$19,0)</f>
        <v>0</v>
      </c>
      <c r="H7" s="1972">
        <f>SUM(H8:H14)</f>
        <v>0</v>
      </c>
      <c r="I7" s="1973">
        <f>IF(H$19&gt;0,H7/H$19,0)</f>
        <v>0</v>
      </c>
      <c r="J7" s="1972">
        <f>SUM(J8:J14)</f>
        <v>0</v>
      </c>
      <c r="K7" s="1973">
        <f>IF(J$19&gt;0,J7/J$19,0)</f>
        <v>0</v>
      </c>
      <c r="L7" s="1972">
        <f>SUM(L8:L14)</f>
        <v>0</v>
      </c>
      <c r="M7" s="1974">
        <f>IF(L$19&gt;0,L7/L$19,0)</f>
        <v>0</v>
      </c>
      <c r="S7" s="3973">
        <f t="shared" ref="S7:X7" si="0">H7</f>
        <v>0</v>
      </c>
      <c r="T7" s="3975">
        <f t="shared" si="0"/>
        <v>0</v>
      </c>
      <c r="U7" s="3973">
        <f t="shared" si="0"/>
        <v>0</v>
      </c>
      <c r="V7" s="3975">
        <f t="shared" si="0"/>
        <v>0</v>
      </c>
      <c r="W7" s="3973">
        <f t="shared" si="0"/>
        <v>0</v>
      </c>
      <c r="X7" s="3975">
        <f t="shared" si="0"/>
        <v>0</v>
      </c>
    </row>
    <row r="8" spans="1:24" ht="16.5" customHeight="1">
      <c r="A8" s="974" t="s">
        <v>391</v>
      </c>
      <c r="B8" s="993">
        <f>'(0) 1a. Activos de Partida'!B8-'(0) 1a. Activos de Partida'!B18*0</f>
        <v>0</v>
      </c>
      <c r="C8" s="994" t="str">
        <f>IF(B$19=0,"",B8/B$19)</f>
        <v/>
      </c>
      <c r="D8" s="993">
        <f>'7. Plan Invers-Financ (1º,2º)'!E105+'7. Plan Invers-Financ (1º,2º)'!E106*0</f>
        <v>0</v>
      </c>
      <c r="E8" s="994" t="str">
        <f t="shared" ref="E8:E14" si="1">IF(D$19&gt;0,D8/D$19,"")</f>
        <v/>
      </c>
      <c r="F8" s="995">
        <f>'7. Plan Invers-Financ (1º,2º)'!G105+'7. Plan Invers-Financ (1º,2º)'!G106*0</f>
        <v>0</v>
      </c>
      <c r="G8" s="994" t="str">
        <f t="shared" ref="G8:G14" si="2">IF(F$19&gt;0,F8/F$19,"")</f>
        <v/>
      </c>
      <c r="H8" s="995">
        <f>'7. Plan Invers-Financ (1º,2º)'!H105+'7. Plan Invers-Financ (1º,2º)'!H106*0</f>
        <v>0</v>
      </c>
      <c r="I8" s="994" t="str">
        <f t="shared" ref="I8:I14" si="3">IF(H$19&gt;0,H8/H$19,"")</f>
        <v/>
      </c>
      <c r="J8" s="995">
        <f>'7. Plan Invers-Financ (1º,2º)'!J105+'7. Plan Invers-Financ (1º,2º)'!J106*0</f>
        <v>0</v>
      </c>
      <c r="K8" s="994" t="str">
        <f t="shared" ref="K8:K14" si="4">IF(J$19&gt;0,J8/J$19,"")</f>
        <v/>
      </c>
      <c r="L8" s="995">
        <f>'7. Plan Invers-Financ (1º,2º)'!K105+'7. Plan Invers-Financ (1º,2º)'!K106*0</f>
        <v>0</v>
      </c>
      <c r="M8" s="996" t="str">
        <f t="shared" ref="M8:M14" si="5">IF(L$19&gt;0,L8/L$19,"")</f>
        <v/>
      </c>
      <c r="S8" s="3974"/>
      <c r="T8" s="3976"/>
      <c r="U8" s="3974"/>
      <c r="V8" s="3976"/>
      <c r="W8" s="3974"/>
      <c r="X8" s="3976"/>
    </row>
    <row r="9" spans="1:24" ht="16.5" customHeight="1">
      <c r="A9" s="975" t="s">
        <v>360</v>
      </c>
      <c r="B9" s="997">
        <f>'(0) 1a. Activos de Partida'!B18</f>
        <v>0</v>
      </c>
      <c r="C9" s="998" t="str">
        <f>IF(B$19&gt;0,B9/B$19,"")</f>
        <v/>
      </c>
      <c r="D9" s="997">
        <f>'7. Plan Invers-Financ (1º,2º)'!E106</f>
        <v>0</v>
      </c>
      <c r="E9" s="998" t="str">
        <f t="shared" si="1"/>
        <v/>
      </c>
      <c r="F9" s="999">
        <f>'7. Plan Invers-Financ (1º,2º)'!G106</f>
        <v>0</v>
      </c>
      <c r="G9" s="998" t="str">
        <f t="shared" si="2"/>
        <v/>
      </c>
      <c r="H9" s="999">
        <f>'7. Plan Invers-Financ (1º,2º)'!H106</f>
        <v>0</v>
      </c>
      <c r="I9" s="998" t="str">
        <f t="shared" si="3"/>
        <v/>
      </c>
      <c r="J9" s="999">
        <f>'7. Plan Invers-Financ (1º,2º)'!J106</f>
        <v>0</v>
      </c>
      <c r="K9" s="998" t="str">
        <f t="shared" si="4"/>
        <v/>
      </c>
      <c r="L9" s="999">
        <f>'7. Plan Invers-Financ (1º,2º)'!K106</f>
        <v>0</v>
      </c>
      <c r="M9" s="1000" t="str">
        <f t="shared" si="5"/>
        <v/>
      </c>
      <c r="S9" s="3977">
        <f t="shared" ref="S9:X9" si="6">H15</f>
        <v>0</v>
      </c>
      <c r="T9" s="3978">
        <f t="shared" si="6"/>
        <v>0</v>
      </c>
      <c r="U9" s="3977">
        <f t="shared" si="6"/>
        <v>0</v>
      </c>
      <c r="V9" s="3978">
        <f t="shared" si="6"/>
        <v>0</v>
      </c>
      <c r="W9" s="3977">
        <f t="shared" si="6"/>
        <v>0</v>
      </c>
      <c r="X9" s="3978">
        <f t="shared" si="6"/>
        <v>0</v>
      </c>
    </row>
    <row r="10" spans="1:24" ht="16.5" customHeight="1" thickBot="1">
      <c r="A10" s="976" t="s">
        <v>392</v>
      </c>
      <c r="B10" s="1001">
        <f>'(0) 1a. Activos de Partida'!B19-'(0) 1a. Activos de Partida'!B24*0</f>
        <v>0</v>
      </c>
      <c r="C10" s="1002" t="str">
        <f>IF(B$19=0,"",B10/B$19)</f>
        <v/>
      </c>
      <c r="D10" s="1001">
        <f>'7. Plan Invers-Financ (1º,2º)'!E107+'7. Plan Invers-Financ (1º,2º)'!E108*0</f>
        <v>0</v>
      </c>
      <c r="E10" s="1002" t="str">
        <f t="shared" si="1"/>
        <v/>
      </c>
      <c r="F10" s="1003">
        <f>'7. Plan Invers-Financ (1º,2º)'!G107+'7. Plan Invers-Financ (1º,2º)'!G108*0</f>
        <v>0</v>
      </c>
      <c r="G10" s="1002" t="str">
        <f t="shared" si="2"/>
        <v/>
      </c>
      <c r="H10" s="1003">
        <f>'7. Plan Invers-Financ (1º,2º)'!H107+'7. Plan Invers-Financ (1º,2º)'!H108*0</f>
        <v>0</v>
      </c>
      <c r="I10" s="1002" t="str">
        <f t="shared" si="3"/>
        <v/>
      </c>
      <c r="J10" s="1003">
        <f>'7. Plan Invers-Financ (1º,2º)'!J107+'7. Plan Invers-Financ (1º,2º)'!J108*0</f>
        <v>0</v>
      </c>
      <c r="K10" s="1002" t="str">
        <f t="shared" si="4"/>
        <v/>
      </c>
      <c r="L10" s="1003">
        <f>'7. Plan Invers-Financ (1º,2º)'!K107+'7. Plan Invers-Financ (1º,2º)'!K108*0</f>
        <v>0</v>
      </c>
      <c r="M10" s="996" t="str">
        <f t="shared" si="5"/>
        <v/>
      </c>
      <c r="S10" s="3974"/>
      <c r="T10" s="3976"/>
      <c r="U10" s="3974"/>
      <c r="V10" s="3976"/>
      <c r="W10" s="3974"/>
      <c r="X10" s="3976"/>
    </row>
    <row r="11" spans="1:24" ht="16.5" customHeight="1">
      <c r="A11" s="975" t="s">
        <v>361</v>
      </c>
      <c r="B11" s="997">
        <f>'(0) 1a. Activos de Partida'!B24</f>
        <v>0</v>
      </c>
      <c r="C11" s="998" t="str">
        <f>IF(B$19=0,"",B11/B$19)</f>
        <v/>
      </c>
      <c r="D11" s="997">
        <f>'7. Plan Invers-Financ (1º,2º)'!E108</f>
        <v>0</v>
      </c>
      <c r="E11" s="998" t="str">
        <f t="shared" si="1"/>
        <v/>
      </c>
      <c r="F11" s="999">
        <f>'7. Plan Invers-Financ (1º,2º)'!G108</f>
        <v>0</v>
      </c>
      <c r="G11" s="998" t="str">
        <f t="shared" si="2"/>
        <v/>
      </c>
      <c r="H11" s="999">
        <f>'7. Plan Invers-Financ (1º,2º)'!H108</f>
        <v>0</v>
      </c>
      <c r="I11" s="998" t="str">
        <f t="shared" si="3"/>
        <v/>
      </c>
      <c r="J11" s="999">
        <f>'7. Plan Invers-Financ (1º,2º)'!J108</f>
        <v>0</v>
      </c>
      <c r="K11" s="998" t="str">
        <f t="shared" si="4"/>
        <v/>
      </c>
      <c r="L11" s="999">
        <f>'7. Plan Invers-Financ (1º,2º)'!K108</f>
        <v>0</v>
      </c>
      <c r="M11" s="1000" t="str">
        <f t="shared" si="5"/>
        <v/>
      </c>
      <c r="S11" s="3980">
        <f t="shared" ref="S11:X11" si="7">SUM(S7:S10)</f>
        <v>0</v>
      </c>
      <c r="T11" s="3982">
        <f t="shared" si="7"/>
        <v>0</v>
      </c>
      <c r="U11" s="3980">
        <f t="shared" si="7"/>
        <v>0</v>
      </c>
      <c r="V11" s="3982">
        <f t="shared" si="7"/>
        <v>0</v>
      </c>
      <c r="W11" s="3980">
        <f t="shared" si="7"/>
        <v>0</v>
      </c>
      <c r="X11" s="3982">
        <f t="shared" si="7"/>
        <v>0</v>
      </c>
    </row>
    <row r="12" spans="1:24" ht="16.5" customHeight="1" thickBot="1">
      <c r="A12" s="974" t="s">
        <v>352</v>
      </c>
      <c r="B12" s="993">
        <f>'(0) 1a. Activos de Partida'!B25+'(0) 1a. Activos de Partida'!B27</f>
        <v>0</v>
      </c>
      <c r="C12" s="994" t="str">
        <f>IF(B$19=0,"",B12/B$19)</f>
        <v/>
      </c>
      <c r="D12" s="993">
        <f>'7. Plan Invers-Financ (1º,2º)'!E109+'7. Plan Invers-Financ (1º,2º)'!E110</f>
        <v>0</v>
      </c>
      <c r="E12" s="994" t="str">
        <f t="shared" si="1"/>
        <v/>
      </c>
      <c r="F12" s="995">
        <f>'7. Plan Invers-Financ (1º,2º)'!G109+'7. Plan Invers-Financ (1º,2º)'!G110</f>
        <v>0</v>
      </c>
      <c r="G12" s="994" t="str">
        <f t="shared" si="2"/>
        <v/>
      </c>
      <c r="H12" s="995">
        <f>'7. Plan Invers-Financ (1º,2º)'!H109+'7. Plan Invers-Financ (1º,2º)'!H110</f>
        <v>0</v>
      </c>
      <c r="I12" s="994" t="str">
        <f t="shared" si="3"/>
        <v/>
      </c>
      <c r="J12" s="995">
        <f>'7. Plan Invers-Financ (1º,2º)'!J109+'7. Plan Invers-Financ (1º,2º)'!J110</f>
        <v>0</v>
      </c>
      <c r="K12" s="994" t="str">
        <f t="shared" si="4"/>
        <v/>
      </c>
      <c r="L12" s="995">
        <f>'7. Plan Invers-Financ (1º,2º)'!K109+'7. Plan Invers-Financ (1º,2º)'!K110</f>
        <v>0</v>
      </c>
      <c r="M12" s="996" t="str">
        <f t="shared" si="5"/>
        <v/>
      </c>
      <c r="S12" s="3981"/>
      <c r="T12" s="3983"/>
      <c r="U12" s="3981"/>
      <c r="V12" s="3983"/>
      <c r="W12" s="3981"/>
      <c r="X12" s="3983"/>
    </row>
    <row r="13" spans="1:24" ht="16.5" customHeight="1">
      <c r="A13" s="974" t="s">
        <v>43</v>
      </c>
      <c r="B13" s="993">
        <f>'(0) 1a. Activos de Partida'!B28</f>
        <v>0</v>
      </c>
      <c r="C13" s="994" t="str">
        <f>IF(B$19=0,"",B13/B$19)</f>
        <v/>
      </c>
      <c r="D13" s="993">
        <f>'7. Plan Invers-Financ (1º,2º)'!E111</f>
        <v>0</v>
      </c>
      <c r="E13" s="994" t="str">
        <f t="shared" si="1"/>
        <v/>
      </c>
      <c r="F13" s="995">
        <f>'7. Plan Invers-Financ (1º,2º)'!G111</f>
        <v>0</v>
      </c>
      <c r="G13" s="994" t="str">
        <f t="shared" si="2"/>
        <v/>
      </c>
      <c r="H13" s="995">
        <f>'7. Plan Invers-Financ (1º,2º)'!H111</f>
        <v>0</v>
      </c>
      <c r="I13" s="994" t="str">
        <f t="shared" si="3"/>
        <v/>
      </c>
      <c r="J13" s="995">
        <f>'7. Plan Invers-Financ (1º,2º)'!J111</f>
        <v>0</v>
      </c>
      <c r="K13" s="994" t="str">
        <f t="shared" si="4"/>
        <v/>
      </c>
      <c r="L13" s="995">
        <f>'7. Plan Invers-Financ (1º,2º)'!K111</f>
        <v>0</v>
      </c>
      <c r="M13" s="996" t="str">
        <f t="shared" si="5"/>
        <v/>
      </c>
      <c r="S13" s="3984">
        <f t="shared" ref="S13:X13" si="8">H20</f>
        <v>0</v>
      </c>
      <c r="T13" s="3979">
        <f t="shared" si="8"/>
        <v>0</v>
      </c>
      <c r="U13" s="3984">
        <f t="shared" si="8"/>
        <v>0</v>
      </c>
      <c r="V13" s="3979">
        <f t="shared" si="8"/>
        <v>0</v>
      </c>
      <c r="W13" s="3984">
        <f t="shared" si="8"/>
        <v>0</v>
      </c>
      <c r="X13" s="3979">
        <f t="shared" si="8"/>
        <v>0</v>
      </c>
    </row>
    <row r="14" spans="1:24" ht="16.5" customHeight="1">
      <c r="A14" s="976" t="s">
        <v>44</v>
      </c>
      <c r="B14" s="993">
        <f>'(0) 1a. Activos de Partida'!B30</f>
        <v>0</v>
      </c>
      <c r="C14" s="994" t="str">
        <f>IF(B$19=0,"",B14/B$19)</f>
        <v/>
      </c>
      <c r="D14" s="993">
        <f>'7. Plan Invers-Financ (1º,2º)'!E112</f>
        <v>0</v>
      </c>
      <c r="E14" s="994" t="str">
        <f t="shared" si="1"/>
        <v/>
      </c>
      <c r="F14" s="995">
        <f>'7. Plan Invers-Financ (1º,2º)'!G112</f>
        <v>0</v>
      </c>
      <c r="G14" s="994" t="str">
        <f t="shared" si="2"/>
        <v/>
      </c>
      <c r="H14" s="995">
        <f>'7. Plan Invers-Financ (1º,2º)'!H112</f>
        <v>0</v>
      </c>
      <c r="I14" s="994" t="str">
        <f t="shared" si="3"/>
        <v/>
      </c>
      <c r="J14" s="995">
        <f>'7. Plan Invers-Financ (1º,2º)'!J112</f>
        <v>0</v>
      </c>
      <c r="K14" s="994" t="str">
        <f t="shared" si="4"/>
        <v/>
      </c>
      <c r="L14" s="995">
        <f>'7. Plan Invers-Financ (1º,2º)'!K112</f>
        <v>0</v>
      </c>
      <c r="M14" s="996" t="str">
        <f t="shared" si="5"/>
        <v/>
      </c>
      <c r="S14" s="3974"/>
      <c r="T14" s="3976"/>
      <c r="U14" s="3974"/>
      <c r="V14" s="3976"/>
      <c r="W14" s="3974"/>
      <c r="X14" s="3976"/>
    </row>
    <row r="15" spans="1:24" ht="18.75" customHeight="1">
      <c r="A15" s="1975" t="s">
        <v>120</v>
      </c>
      <c r="B15" s="1976">
        <f>SUM(B16:B18)</f>
        <v>0</v>
      </c>
      <c r="C15" s="1973">
        <f>IF(B$19&gt;0,B15/B$19,0)</f>
        <v>0</v>
      </c>
      <c r="D15" s="1976">
        <f>SUM(D16:D18)</f>
        <v>0</v>
      </c>
      <c r="E15" s="1973">
        <f>IF(D$19&gt;0,D15/D$19,0)</f>
        <v>0</v>
      </c>
      <c r="F15" s="1976">
        <f>SUM(F16:F18)</f>
        <v>0</v>
      </c>
      <c r="G15" s="1973">
        <f>IF(F$19&gt;0,F15/F$19,0)</f>
        <v>0</v>
      </c>
      <c r="H15" s="1976">
        <f>SUM(H16:H18)</f>
        <v>0</v>
      </c>
      <c r="I15" s="1973">
        <f>IF(H$19&gt;0,H15/H$19,0)</f>
        <v>0</v>
      </c>
      <c r="J15" s="1976">
        <f>SUM(J16:J18)</f>
        <v>0</v>
      </c>
      <c r="K15" s="1973">
        <f>IF(J$19&gt;0,J15/J$19,0)</f>
        <v>0</v>
      </c>
      <c r="L15" s="1976">
        <f>SUM(L16:L18)</f>
        <v>0</v>
      </c>
      <c r="M15" s="1974">
        <f>IF(L$19&gt;0,L15/L$19,0)</f>
        <v>0</v>
      </c>
      <c r="S15" s="3977">
        <f t="shared" ref="S15:X15" si="9">H28</f>
        <v>0</v>
      </c>
      <c r="T15" s="3978">
        <f t="shared" si="9"/>
        <v>0</v>
      </c>
      <c r="U15" s="3977">
        <f t="shared" si="9"/>
        <v>0</v>
      </c>
      <c r="V15" s="3978">
        <f t="shared" si="9"/>
        <v>0</v>
      </c>
      <c r="W15" s="3977">
        <f t="shared" si="9"/>
        <v>0</v>
      </c>
      <c r="X15" s="3978">
        <f t="shared" si="9"/>
        <v>0</v>
      </c>
    </row>
    <row r="16" spans="1:24" ht="17.25" customHeight="1">
      <c r="A16" s="974" t="s">
        <v>45</v>
      </c>
      <c r="B16" s="1482">
        <f>'(0) 1a. Activos de Partida'!B33</f>
        <v>0</v>
      </c>
      <c r="C16" s="994" t="str">
        <f>IF(B$19&gt;0,B16/B$19,"")</f>
        <v/>
      </c>
      <c r="D16" s="1480">
        <f>B16+('3.Costes D.V. y Pagos (1º,2º)'!P25+'3.Costes D.V. y Pagos (1º,2º)'!P26)-('3.Costes D.V. y Pagos (1º,2º)'!P17+'3.Costes D.V. y Pagos (1º,2º)'!P16)+('3.Costes D.V. y Pagos (1º,2º)'!P17-'3.Costes D.V. y Pagos (1º,2º)'!P26)</f>
        <v>0</v>
      </c>
      <c r="E16" s="994" t="str">
        <f>IF(D$19&gt;0,D16/D$19,"")</f>
        <v/>
      </c>
      <c r="F16" s="1481">
        <f>D16+('3.Costes D.V. y Pagos (1º,2º)'!AK25+'3.Costes D.V. y Pagos (1º,2º)'!AK26)-('3.Costes D.V. y Pagos (1º,2º)'!AK17+'3.Costes D.V. y Pagos (1º,2º)'!AK16)+('3.Costes D.V. y Pagos (1º,2º)'!AK17-'3.Costes D.V. y Pagos (1º,2º)'!AK26)</f>
        <v>0</v>
      </c>
      <c r="G16" s="994" t="str">
        <f>IF(F$19&gt;0,F16/F$19,"")</f>
        <v/>
      </c>
      <c r="H16" s="3053">
        <f>IF('(0) 5. Resumen P y G (5 Ej.)'!J17=0,0+F16*0,(F16*(1+'(0) 5. Resumen P y G (5 Ej.)'!L17)))+('(0) 5. Resumen P y G (5 Ej.)'!J47-'(0) 5. Resumen P y G (5 Ej.)'!J17)*0</f>
        <v>0</v>
      </c>
      <c r="I16" s="994" t="str">
        <f>IF(H$19&gt;0,H16/H$19,"")</f>
        <v/>
      </c>
      <c r="J16" s="3053">
        <f>IF('(0) 5. Resumen P y G (5 Ej.)'!M17=0,0+H16*0,(H16*(1+'(0) 5. Resumen P y G (5 Ej.)'!O17)))+('(0) 5. Resumen P y G (5 Ej.)'!M47-'(0) 5. Resumen P y G (5 Ej.)'!M17)*0</f>
        <v>0</v>
      </c>
      <c r="K16" s="994" t="str">
        <f>IF(J$19&gt;0,J16/J$19,"")</f>
        <v/>
      </c>
      <c r="L16" s="3053">
        <f>IF('(0) 5. Resumen P y G (5 Ej.)'!P17=0,0+J16*0,(J16*(1+'(0) 5. Resumen P y G (5 Ej.)'!R17)))+('(0) 5. Resumen P y G (5 Ej.)'!P47-'(0) 5. Resumen P y G (5 Ej.)'!P17)*0</f>
        <v>0</v>
      </c>
      <c r="M16" s="996" t="str">
        <f>IF(L$19&gt;0,L16/L$19,"")</f>
        <v/>
      </c>
      <c r="S16" s="3985"/>
      <c r="T16" s="3986"/>
      <c r="U16" s="3985"/>
      <c r="V16" s="3986"/>
      <c r="W16" s="3985"/>
      <c r="X16" s="3986"/>
    </row>
    <row r="17" spans="1:24" ht="17.25" customHeight="1">
      <c r="A17" s="974" t="s">
        <v>211</v>
      </c>
      <c r="B17" s="993">
        <f>'(0) 1a. Activos de Partida'!B39+'(0) 1a. Activos de Partida'!B36</f>
        <v>0</v>
      </c>
      <c r="C17" s="994" t="str">
        <f>IF(B$19&gt;0,B17/B$19,"")</f>
        <v/>
      </c>
      <c r="D17" s="1004">
        <f>'2.Ventas y Cobros (Ej 1º,2º)'!Q66+('(0) 1a. Activos de Partida'!B37+'(0) 1a. Activos de Partida'!B38)+IF('8. Tesorería (Ej 1º,2º)'!$P$49+'8. Tesorería (Ej 1º,2º)'!$P$50&lt;0,-('8. Tesorería (Ej 1º,2º)'!$P$49+'8. Tesorería (Ej 1º,2º)'!$P$50),0)-('2.Ventas y Cobros (Ej 1º,2º)'!P70+'2.Ventas y Cobros (Ej 1º,2º)'!P71)+'(0) 1a. Activos de Partida'!B41</f>
        <v>0</v>
      </c>
      <c r="E17" s="994" t="str">
        <f>IF(D$19&gt;0,D17/D$19,"")</f>
        <v/>
      </c>
      <c r="F17" s="1004">
        <f>('2.Ventas y Cobros (Ej 1º,2º)'!AJ70+'2.Ventas y Cobros (Ej 1º,2º)'!AJ71)+'2.Ventas y Cobros (Ej 1º,2º)'!AJ66+IF('8. Tesorería (Ej 1º,2º)'!$AG$49+'8. Tesorería (Ej 1º,2º)'!$AG$50&lt;0,-('8. Tesorería (Ej 1º,2º)'!$AG$49+'8. Tesorería (Ej 1º,2º)'!$AG$50),0)-('2.Ventas y Cobros (Ej 1º,2º)'!AI70+'2.Ventas y Cobros (Ej 1º,2º)'!AI71)*0+'(0) 1a. Activos de Partida'!B41</f>
        <v>0</v>
      </c>
      <c r="G17" s="1002" t="str">
        <f>IF(F$19&gt;0,F17/F$19,"")</f>
        <v/>
      </c>
      <c r="H17" s="1003">
        <f>(('2.Ventas y Cobros (Ej 1º,2º)'!AJ66)*(1+'(0) 5. Resumen P y G (5 Ej.)'!$L$8)+'7. Plan Invers-Financ (1º,2º)'!AV67+('2.Ventas y Cobros (Ej 1º,2º)'!$AJ$70+'2.Ventas y Cobros (Ej 1º,2º)'!$AJ$71)+IF(('8. Tesorería (Ej 1º,2º)'!$AG$49+'8. Tesorería (Ej 1º,2º)'!$AG$50)*(1+'(0) 5. Resumen P y G (5 Ej.)'!$L$8)&lt;0,-(('8. Tesorería (Ej 1º,2º)'!$AG$49+'8. Tesorería (Ej 1º,2º)'!$AG$50)*(1+'(0) 5. Resumen P y G (5 Ej.)'!$L$8)),0))</f>
        <v>0</v>
      </c>
      <c r="I17" s="1002" t="str">
        <f>IF(H$19&gt;0,H17/H$19,"")</f>
        <v/>
      </c>
      <c r="J17" s="1003">
        <f>(('2.Ventas y Cobros (Ej 1º,2º)'!AJ66)*(1+'(0) 5. Resumen P y G (5 Ej.)'!$L$8)*(1+'(0) 5. Resumen P y G (5 Ej.)'!$O$8)+'7. Plan Invers-Financ (1º,2º)'!AY67+('2.Ventas y Cobros (Ej 1º,2º)'!$AJ$70+'2.Ventas y Cobros (Ej 1º,2º)'!$AJ$71)+IF(('8. Tesorería (Ej 1º,2º)'!$AG$49+'8. Tesorería (Ej 1º,2º)'!$AG$50)*(1+'(0) 5. Resumen P y G (5 Ej.)'!$L$8)*(1+'(0) 5. Resumen P y G (5 Ej.)'!$O$8)&lt;0,-(('8. Tesorería (Ej 1º,2º)'!$AG$49+'8. Tesorería (Ej 1º,2º)'!$AG$50)*(1+'(0) 5. Resumen P y G (5 Ej.)'!$L$8)*(1+'(0) 5. Resumen P y G (5 Ej.)'!$O$8)),0))</f>
        <v>0</v>
      </c>
      <c r="K17" s="1002" t="str">
        <f>IF(J$19&gt;0,J17/J$19,"")</f>
        <v/>
      </c>
      <c r="L17" s="1003">
        <f>(('2.Ventas y Cobros (Ej 1º,2º)'!AJ66)*(1+'(0) 5. Resumen P y G (5 Ej.)'!R8)*(1+'(0) 5. Resumen P y G (5 Ej.)'!L8)*(1+'(0) 5. Resumen P y G (5 Ej.)'!O8)+'7. Plan Invers-Financ (1º,2º)'!BB67+('2.Ventas y Cobros (Ej 1º,2º)'!AJ70+'2.Ventas y Cobros (Ej 1º,2º)'!AJ71)+IF(('8. Tesorería (Ej 1º,2º)'!$AG$49+'8. Tesorería (Ej 1º,2º)'!$AG$50)*(1+'(0) 5. Resumen P y G (5 Ej.)'!R8)*(1+'(0) 5. Resumen P y G (5 Ej.)'!L8)*(1+'(0) 5. Resumen P y G (5 Ej.)'!O8)&lt;0,-(('8. Tesorería (Ej 1º,2º)'!$AG$49+'8. Tesorería (Ej 1º,2º)'!$AG$50)*(1+'(0) 5. Resumen P y G (5 Ej.)'!R8)*(1+'(0) 5. Resumen P y G (5 Ej.)'!L8)*(1+'(0) 5. Resumen P y G (5 Ej.)'!O8)),0))</f>
        <v>0</v>
      </c>
      <c r="M17" s="1005" t="str">
        <f>IF(L$19&gt;0,L17/L$19,"")</f>
        <v/>
      </c>
      <c r="S17" s="3984">
        <f t="shared" ref="S17:X17" si="10">H32</f>
        <v>0</v>
      </c>
      <c r="T17" s="3979">
        <f t="shared" si="10"/>
        <v>0</v>
      </c>
      <c r="U17" s="3984">
        <f t="shared" si="10"/>
        <v>0</v>
      </c>
      <c r="V17" s="3979">
        <f t="shared" si="10"/>
        <v>0</v>
      </c>
      <c r="W17" s="3984">
        <f t="shared" si="10"/>
        <v>0</v>
      </c>
      <c r="X17" s="3979">
        <f t="shared" si="10"/>
        <v>0</v>
      </c>
    </row>
    <row r="18" spans="1:24" ht="17.25" customHeight="1" thickBot="1">
      <c r="A18" s="974" t="s">
        <v>180</v>
      </c>
      <c r="B18" s="993">
        <f>'(0) 1a. Activos de Partida'!B42</f>
        <v>0</v>
      </c>
      <c r="C18" s="994" t="str">
        <f>IF(B$19&gt;0,B18/B$19,"")</f>
        <v/>
      </c>
      <c r="D18" s="1001">
        <f>'8. Tesorería (Ej 1º,2º)'!N52</f>
        <v>0</v>
      </c>
      <c r="E18" s="994" t="str">
        <f>IF(D$19&gt;0,D18/D$19,"")</f>
        <v/>
      </c>
      <c r="F18" s="1003">
        <f>'8. Tesorería (Ej 1º,2º)'!AE52</f>
        <v>0</v>
      </c>
      <c r="G18" s="994" t="str">
        <f>IF(F$19&gt;0,F18/F$19,"")</f>
        <v/>
      </c>
      <c r="H18" s="1003">
        <f>H39-H7-H16-H17</f>
        <v>0</v>
      </c>
      <c r="I18" s="994" t="str">
        <f>IF(H$19&gt;0,H18/H$19,"")</f>
        <v/>
      </c>
      <c r="J18" s="1003">
        <f>J39-J7-J16-J17</f>
        <v>0</v>
      </c>
      <c r="K18" s="994" t="str">
        <f>IF(J$19&gt;0,J18/J$19,"")</f>
        <v/>
      </c>
      <c r="L18" s="1003">
        <f>L39-L7-L16-L17</f>
        <v>0</v>
      </c>
      <c r="M18" s="996" t="str">
        <f>IF(L$19&gt;0,L18/L$19,"")</f>
        <v/>
      </c>
      <c r="S18" s="3974"/>
      <c r="T18" s="3976"/>
      <c r="U18" s="3974"/>
      <c r="V18" s="3976"/>
      <c r="W18" s="3974"/>
      <c r="X18" s="3976"/>
    </row>
    <row r="19" spans="1:24" ht="19.5" customHeight="1" thickBot="1">
      <c r="A19" s="1962" t="s">
        <v>5</v>
      </c>
      <c r="B19" s="1963">
        <f t="shared" ref="B19:M19" si="11">B7+B15</f>
        <v>0</v>
      </c>
      <c r="C19" s="1964">
        <f t="shared" si="11"/>
        <v>0</v>
      </c>
      <c r="D19" s="1963">
        <f t="shared" si="11"/>
        <v>0</v>
      </c>
      <c r="E19" s="1964">
        <f t="shared" si="11"/>
        <v>0</v>
      </c>
      <c r="F19" s="1963">
        <f t="shared" si="11"/>
        <v>0</v>
      </c>
      <c r="G19" s="1964">
        <f t="shared" si="11"/>
        <v>0</v>
      </c>
      <c r="H19" s="1965">
        <f t="shared" si="11"/>
        <v>0</v>
      </c>
      <c r="I19" s="1964">
        <f t="shared" si="11"/>
        <v>0</v>
      </c>
      <c r="J19" s="1965">
        <f t="shared" si="11"/>
        <v>0</v>
      </c>
      <c r="K19" s="1964">
        <f t="shared" si="11"/>
        <v>0</v>
      </c>
      <c r="L19" s="1965">
        <f t="shared" si="11"/>
        <v>0</v>
      </c>
      <c r="M19" s="1966">
        <f t="shared" si="11"/>
        <v>0</v>
      </c>
      <c r="S19" s="3980">
        <f t="shared" ref="S19:X19" si="12">SUM(S13:S18)</f>
        <v>0</v>
      </c>
      <c r="T19" s="3982">
        <f t="shared" si="12"/>
        <v>0</v>
      </c>
      <c r="U19" s="3980">
        <f t="shared" si="12"/>
        <v>0</v>
      </c>
      <c r="V19" s="3982">
        <f t="shared" si="12"/>
        <v>0</v>
      </c>
      <c r="W19" s="3980">
        <f t="shared" si="12"/>
        <v>0</v>
      </c>
      <c r="X19" s="3982">
        <f t="shared" si="12"/>
        <v>0</v>
      </c>
    </row>
    <row r="20" spans="1:24" ht="18" customHeight="1" thickBot="1">
      <c r="A20" s="1975" t="s">
        <v>178</v>
      </c>
      <c r="B20" s="1976">
        <f>SUM(B21:B27)</f>
        <v>0</v>
      </c>
      <c r="C20" s="1973">
        <f>IF(B$39&gt;0,B20/B$39,0)</f>
        <v>0</v>
      </c>
      <c r="D20" s="1976">
        <f>SUM(D21:D27)</f>
        <v>0</v>
      </c>
      <c r="E20" s="1973">
        <f>IF(D$39&gt;0,D20/D$39,0)</f>
        <v>0</v>
      </c>
      <c r="F20" s="1976">
        <f>SUM(F21:F27)</f>
        <v>0</v>
      </c>
      <c r="G20" s="1973">
        <f>IF(F$39&gt;0,F20/F$39,0)</f>
        <v>0</v>
      </c>
      <c r="H20" s="1977">
        <f>SUM(H21:H27)</f>
        <v>0</v>
      </c>
      <c r="I20" s="1973">
        <f>IF(H$39&gt;0,H20/H$39,0)</f>
        <v>0</v>
      </c>
      <c r="J20" s="1977">
        <f>SUM(J21:J27)</f>
        <v>0</v>
      </c>
      <c r="K20" s="1973">
        <f>IF(J$39&gt;0,J20/J$39,0)</f>
        <v>0</v>
      </c>
      <c r="L20" s="1977">
        <f>SUM(L21:L27)</f>
        <v>0</v>
      </c>
      <c r="M20" s="1974">
        <f>IF(L$39&gt;0,L20/L$39,0)</f>
        <v>0</v>
      </c>
      <c r="S20" s="3981"/>
      <c r="T20" s="3983"/>
      <c r="U20" s="3981"/>
      <c r="V20" s="3983"/>
      <c r="W20" s="3981"/>
      <c r="X20" s="3983"/>
    </row>
    <row r="21" spans="1:24" ht="16.5" customHeight="1">
      <c r="A21" s="976" t="s">
        <v>464</v>
      </c>
      <c r="B21" s="993">
        <f>'(0) 1b. Pasivos de Partida'!B7-'(0) 1b. Pasivos de Partida'!B9</f>
        <v>0</v>
      </c>
      <c r="C21" s="994" t="str">
        <f t="shared" ref="C21:C27" si="13">IF(B$39&gt;0,B21/$B$39,"")</f>
        <v/>
      </c>
      <c r="D21" s="1001">
        <f>B21+'7. Plan Invers-Financ (1º,2º)'!AA62+'7. Plan Invers-Financ (1º,2º)'!AA38</f>
        <v>0</v>
      </c>
      <c r="E21" s="994" t="str">
        <f t="shared" ref="E21:E27" si="14">IF(D$39&gt;0,D21/$D$39,"")</f>
        <v/>
      </c>
      <c r="F21" s="1003">
        <f>D21+'7. Plan Invers-Financ (1º,2º)'!AL62+'7. Plan Invers-Financ (1º,2º)'!AL38</f>
        <v>0</v>
      </c>
      <c r="G21" s="994" t="str">
        <f t="shared" ref="G21:G27" si="15">IF(F$39&gt;0,F21/$F$39,"")</f>
        <v/>
      </c>
      <c r="H21" s="1003">
        <f>F21+'7. Plan Invers-Financ (1º,2º)'!AV62+'7. Plan Invers-Financ (1º,2º)'!AV36</f>
        <v>0</v>
      </c>
      <c r="I21" s="994" t="str">
        <f t="shared" ref="I21:I27" si="16">IF(H$39&gt;0,H21/$H$39,"")</f>
        <v/>
      </c>
      <c r="J21" s="1003">
        <f>H21+'7. Plan Invers-Financ (1º,2º)'!AY62+'7. Plan Invers-Financ (1º,2º)'!AY36</f>
        <v>0</v>
      </c>
      <c r="K21" s="994" t="str">
        <f t="shared" ref="K21:K27" si="17">IF(J$39&gt;0,J21/$J$39,"")</f>
        <v/>
      </c>
      <c r="L21" s="1003">
        <f>J21+'7. Plan Invers-Financ (1º,2º)'!BB62+'7. Plan Invers-Financ (1º,2º)'!BB36</f>
        <v>0</v>
      </c>
      <c r="M21" s="996" t="str">
        <f t="shared" ref="M21:M27" si="18">IF(L$39&gt;0,L21/$L$39,"")</f>
        <v/>
      </c>
    </row>
    <row r="22" spans="1:24" ht="16.5" customHeight="1">
      <c r="A22" s="976" t="s">
        <v>465</v>
      </c>
      <c r="B22" s="1001">
        <f>'(0) 1b. Pasivos de Partida'!B9</f>
        <v>0</v>
      </c>
      <c r="C22" s="1002" t="str">
        <f t="shared" si="13"/>
        <v/>
      </c>
      <c r="D22" s="1001">
        <f>B22+'7. Plan Invers-Financ (1º,2º)'!AA39</f>
        <v>0</v>
      </c>
      <c r="E22" s="1002" t="str">
        <f t="shared" si="14"/>
        <v/>
      </c>
      <c r="F22" s="1240">
        <f>D22+'7. Plan Invers-Financ (1º,2º)'!AL39</f>
        <v>0</v>
      </c>
      <c r="G22" s="1002" t="str">
        <f t="shared" si="15"/>
        <v/>
      </c>
      <c r="H22" s="1240">
        <f>F22+'7. Plan Invers-Financ (1º,2º)'!AV37</f>
        <v>0</v>
      </c>
      <c r="I22" s="1002" t="str">
        <f t="shared" si="16"/>
        <v/>
      </c>
      <c r="J22" s="1240">
        <f>H22+'7. Plan Invers-Financ (1º,2º)'!AY37</f>
        <v>0</v>
      </c>
      <c r="K22" s="1002" t="str">
        <f t="shared" si="17"/>
        <v/>
      </c>
      <c r="L22" s="1240">
        <f>J22+'7. Plan Invers-Financ (1º,2º)'!BB37</f>
        <v>0</v>
      </c>
      <c r="M22" s="1005" t="str">
        <f t="shared" si="18"/>
        <v/>
      </c>
    </row>
    <row r="23" spans="1:24" ht="16.5" customHeight="1">
      <c r="A23" s="976" t="s">
        <v>466</v>
      </c>
      <c r="B23" s="1001">
        <f>'(0) 1b. Pasivos de Partida'!B12</f>
        <v>0</v>
      </c>
      <c r="C23" s="1002" t="str">
        <f t="shared" si="13"/>
        <v/>
      </c>
      <c r="D23" s="1001">
        <f>B23+IF(('(0) 5. Resumen P y G (5 Ej.)'!E63+'(0) 5. Resumen P y G (5 Ej.)'!E62)="",0,('(0) 5. Resumen P y G (5 Ej.)'!E63+'(0) 5. Resumen P y G (5 Ej.)'!E62))</f>
        <v>0</v>
      </c>
      <c r="E23" s="1002" t="str">
        <f t="shared" si="14"/>
        <v/>
      </c>
      <c r="F23" s="1240">
        <f>D23+IF('(0) 5. Resumen P y G (5 Ej.)'!H63+'(0) 5. Resumen P y G (5 Ej.)'!H62=0,0,'(0) 5. Resumen P y G (5 Ej.)'!H63+'(0) 5. Resumen P y G (5 Ej.)'!H62)</f>
        <v>0</v>
      </c>
      <c r="G23" s="1002" t="str">
        <f t="shared" si="15"/>
        <v/>
      </c>
      <c r="H23" s="1240">
        <f>F23+IF(('(0) 5. Resumen P y G (5 Ej.)'!K63+'(0) 5. Resumen P y G (5 Ej.)'!K62)=0,0,('(0) 5. Resumen P y G (5 Ej.)'!K63+'(0) 5. Resumen P y G (5 Ej.)'!K62))</f>
        <v>0</v>
      </c>
      <c r="I23" s="1002" t="str">
        <f t="shared" si="16"/>
        <v/>
      </c>
      <c r="J23" s="1240">
        <f>H23+IF(('(0) 5. Resumen P y G (5 Ej.)'!N63+'(0) 5. Resumen P y G (5 Ej.)'!N62)=0,0,('(0) 5. Resumen P y G (5 Ej.)'!N63+'(0) 5. Resumen P y G (5 Ej.)'!N62))</f>
        <v>0</v>
      </c>
      <c r="K23" s="1002" t="str">
        <f t="shared" si="17"/>
        <v/>
      </c>
      <c r="L23" s="1240">
        <f>J23+IF(('(0) 5. Resumen P y G (5 Ej.)'!Q63+'(0) 5. Resumen P y G (5 Ej.)'!Q62)=0,0,('(0) 5. Resumen P y G (5 Ej.)'!Q63+'(0) 5. Resumen P y G (5 Ej.)'!Q62))</f>
        <v>0</v>
      </c>
      <c r="M23" s="1005" t="str">
        <f t="shared" si="18"/>
        <v/>
      </c>
      <c r="P23" s="992"/>
      <c r="Q23" s="3056"/>
      <c r="R23" s="1981"/>
      <c r="S23" s="1980"/>
      <c r="T23" s="1981"/>
      <c r="U23" s="1980"/>
      <c r="V23" s="1981"/>
      <c r="W23" s="1980"/>
      <c r="X23" s="1981"/>
    </row>
    <row r="24" spans="1:24" ht="16.5" customHeight="1">
      <c r="A24" s="1274" t="s">
        <v>261</v>
      </c>
      <c r="B24" s="1001">
        <f>'(0) 1b. Pasivos de Partida'!B14</f>
        <v>0</v>
      </c>
      <c r="C24" s="1002" t="str">
        <f t="shared" si="13"/>
        <v/>
      </c>
      <c r="D24" s="1237">
        <f>IF('(0) 5. Resumen P y G (5 Ej.)'!E67=0,'(0) 4. Resumen Balances (5 Ej.)'!B24+'(0) 4. Resumen Balances (5 Ej.)'!B25,'(0) 5. Resumen P y G (5 Ej.)'!E64)</f>
        <v>0</v>
      </c>
      <c r="E24" s="1006" t="str">
        <f t="shared" si="14"/>
        <v/>
      </c>
      <c r="F24" s="1241">
        <f>IF('(0) 5. Resumen P y G (5 Ej.)'!H67=0,'(0) 4. Resumen Balances (5 Ej.)'!D24+'(0) 4. Resumen Balances (5 Ej.)'!D25,'(0) 5. Resumen P y G (5 Ej.)'!H64)</f>
        <v>0</v>
      </c>
      <c r="G24" s="1002" t="str">
        <f t="shared" si="15"/>
        <v/>
      </c>
      <c r="H24" s="1241">
        <f>IF('(0) 5. Resumen P y G (5 Ej.)'!K67=0,'(0) 4. Resumen Balances (5 Ej.)'!F24+'(0) 4. Resumen Balances (5 Ej.)'!F25,'(0) 5. Resumen P y G (5 Ej.)'!K64)</f>
        <v>0</v>
      </c>
      <c r="I24" s="1006" t="str">
        <f t="shared" si="16"/>
        <v/>
      </c>
      <c r="J24" s="1241">
        <f>IF('(0) 5. Resumen P y G (5 Ej.)'!N67=0,'(0) 4. Resumen Balances (5 Ej.)'!H24+'(0) 4. Resumen Balances (5 Ej.)'!H25,'(0) 5. Resumen P y G (5 Ej.)'!N64)</f>
        <v>0</v>
      </c>
      <c r="K24" s="1006" t="str">
        <f t="shared" si="17"/>
        <v/>
      </c>
      <c r="L24" s="1241">
        <f>IF('(0) 5. Resumen P y G (5 Ej.)'!Q67=0,'(0) 4. Resumen Balances (5 Ej.)'!J24+'(0) 4. Resumen Balances (5 Ej.)'!J25,'(0) 5. Resumen P y G (5 Ej.)'!Q64)</f>
        <v>0</v>
      </c>
      <c r="M24" s="1007" t="str">
        <f t="shared" si="18"/>
        <v/>
      </c>
      <c r="P24" s="1982"/>
      <c r="Q24" s="3057"/>
      <c r="R24" s="1983"/>
      <c r="S24" s="1978"/>
      <c r="T24" s="1983"/>
      <c r="U24" s="1978"/>
      <c r="V24" s="1983"/>
      <c r="W24" s="1978"/>
      <c r="X24" s="1983"/>
    </row>
    <row r="25" spans="1:24" ht="16.5" customHeight="1">
      <c r="A25" s="976" t="s">
        <v>479</v>
      </c>
      <c r="B25" s="1001">
        <f>'(0) 1b. Pasivos de Partida'!B13+'(0) 1b. Pasivos de Partida'!B11</f>
        <v>0</v>
      </c>
      <c r="C25" s="1002" t="str">
        <f t="shared" si="13"/>
        <v/>
      </c>
      <c r="D25" s="1238">
        <f>'(0) 5. Resumen P y G (5 Ej.)'!D46</f>
        <v>0</v>
      </c>
      <c r="E25" s="1008" t="str">
        <f t="shared" si="14"/>
        <v/>
      </c>
      <c r="F25" s="1242">
        <f>'(0) 5. Resumen P y G (5 Ej.)'!G46-F64</f>
        <v>0</v>
      </c>
      <c r="G25" s="1009" t="str">
        <f t="shared" si="15"/>
        <v/>
      </c>
      <c r="H25" s="1243">
        <f>'(0) 5. Resumen P y G (5 Ej.)'!J46-H64</f>
        <v>0</v>
      </c>
      <c r="I25" s="1009" t="str">
        <f t="shared" si="16"/>
        <v/>
      </c>
      <c r="J25" s="1243">
        <f>'(0) 5. Resumen P y G (5 Ej.)'!M46-J64</f>
        <v>0</v>
      </c>
      <c r="K25" s="1009" t="str">
        <f t="shared" si="17"/>
        <v/>
      </c>
      <c r="L25" s="1243">
        <f>'(0) 5. Resumen P y G (5 Ej.)'!P46-L64</f>
        <v>0</v>
      </c>
      <c r="M25" s="1010" t="str">
        <f t="shared" si="18"/>
        <v/>
      </c>
      <c r="P25" s="992"/>
      <c r="Q25" s="3056"/>
      <c r="R25" s="1981"/>
      <c r="S25" s="1980"/>
      <c r="T25" s="1981"/>
      <c r="U25" s="1980"/>
      <c r="V25" s="1981"/>
      <c r="W25" s="1980"/>
      <c r="X25" s="1981"/>
    </row>
    <row r="26" spans="1:24" s="1272" customFormat="1" ht="16.5" customHeight="1">
      <c r="A26" s="976" t="s">
        <v>381</v>
      </c>
      <c r="B26" s="1001">
        <f>'(0) 1b. Pasivos de Partida'!B16</f>
        <v>0</v>
      </c>
      <c r="C26" s="1002" t="str">
        <f t="shared" si="13"/>
        <v/>
      </c>
      <c r="D26" s="1238">
        <f>'(0) 3a. Préstam Particip.'!L9</f>
        <v>0</v>
      </c>
      <c r="E26" s="1008" t="str">
        <f t="shared" si="14"/>
        <v/>
      </c>
      <c r="F26" s="1242">
        <f>'(0) 3a. Préstam Particip.'!L10</f>
        <v>0</v>
      </c>
      <c r="G26" s="1009" t="str">
        <f t="shared" si="15"/>
        <v/>
      </c>
      <c r="H26" s="1003">
        <f>'(0) 3a. Préstam Particip.'!L11</f>
        <v>0</v>
      </c>
      <c r="I26" s="1009" t="str">
        <f t="shared" si="16"/>
        <v/>
      </c>
      <c r="J26" s="1003">
        <f>'(0) 3a. Préstam Particip.'!L12</f>
        <v>0</v>
      </c>
      <c r="K26" s="1009" t="str">
        <f t="shared" si="17"/>
        <v/>
      </c>
      <c r="L26" s="1003">
        <f>'(0) 3a. Préstam Particip.'!L13</f>
        <v>0</v>
      </c>
      <c r="M26" s="1010" t="str">
        <f t="shared" si="18"/>
        <v/>
      </c>
      <c r="P26" s="1982"/>
      <c r="Q26" s="3057"/>
      <c r="R26" s="1983"/>
      <c r="S26" s="1978"/>
      <c r="T26" s="1983"/>
      <c r="U26" s="1978"/>
      <c r="V26" s="1983"/>
      <c r="W26" s="1978"/>
      <c r="X26" s="1983"/>
    </row>
    <row r="27" spans="1:24" ht="16.5" customHeight="1">
      <c r="A27" s="976" t="s">
        <v>737</v>
      </c>
      <c r="B27" s="993">
        <f>'(0) 1b. Pasivos de Partida'!B15</f>
        <v>0</v>
      </c>
      <c r="C27" s="994" t="str">
        <f t="shared" si="13"/>
        <v/>
      </c>
      <c r="D27" s="1239">
        <f>B27+'7. Plan Invers-Financ (1º,2º)'!AA41+'7. Plan Invers-Financ (1º,2º)'!AA64</f>
        <v>0</v>
      </c>
      <c r="E27" s="1011" t="str">
        <f t="shared" si="14"/>
        <v/>
      </c>
      <c r="F27" s="1003">
        <f>D27+'7. Plan Invers-Financ (1º,2º)'!AL64+'7. Plan Invers-Financ (1º,2º)'!AL41</f>
        <v>0</v>
      </c>
      <c r="G27" s="1002" t="str">
        <f t="shared" si="15"/>
        <v/>
      </c>
      <c r="H27" s="1003">
        <f>F27+'7. Plan Invers-Financ (1º,2º)'!AV64+'7. Plan Invers-Financ (1º,2º)'!AV39</f>
        <v>0</v>
      </c>
      <c r="I27" s="1002" t="str">
        <f t="shared" si="16"/>
        <v/>
      </c>
      <c r="J27" s="1003">
        <f>H27+'7. Plan Invers-Financ (1º,2º)'!AY64+'7. Plan Invers-Financ (1º,2º)'!AY39</f>
        <v>0</v>
      </c>
      <c r="K27" s="1002" t="str">
        <f t="shared" si="17"/>
        <v/>
      </c>
      <c r="L27" s="1003">
        <f>J27+'7. Plan Invers-Financ (1º,2º)'!BB64+'7. Plan Invers-Financ (1º,2º)'!BB39</f>
        <v>0</v>
      </c>
      <c r="M27" s="1005" t="str">
        <f t="shared" si="18"/>
        <v/>
      </c>
      <c r="P27" s="992"/>
      <c r="Q27" s="3058"/>
      <c r="R27" s="1985"/>
      <c r="S27" s="1984"/>
      <c r="T27" s="1985"/>
      <c r="U27" s="1984"/>
      <c r="V27" s="1985"/>
      <c r="W27" s="1984"/>
      <c r="X27" s="1985"/>
    </row>
    <row r="28" spans="1:24" ht="18" customHeight="1">
      <c r="A28" s="1975" t="s">
        <v>127</v>
      </c>
      <c r="B28" s="1976">
        <f>SUM(B29:B31)</f>
        <v>0</v>
      </c>
      <c r="C28" s="1973">
        <f>IF(B$39&gt;0,B28/B$39,0)</f>
        <v>0</v>
      </c>
      <c r="D28" s="1976">
        <f>SUM(D29:D31)</f>
        <v>0</v>
      </c>
      <c r="E28" s="1973">
        <f>IF(D$39&gt;0,D28/D$39,0)</f>
        <v>0</v>
      </c>
      <c r="F28" s="1977">
        <f>SUM(F29:F31)</f>
        <v>0</v>
      </c>
      <c r="G28" s="1973">
        <f>IF(F$39&gt;0,F28/F$39,0)</f>
        <v>0</v>
      </c>
      <c r="H28" s="1977">
        <f>SUM(H29:H31)</f>
        <v>0</v>
      </c>
      <c r="I28" s="1973">
        <f>IF(H$39&gt;0,H28/H$39,0)</f>
        <v>0</v>
      </c>
      <c r="J28" s="1977">
        <f>SUM(J29:J31)</f>
        <v>0</v>
      </c>
      <c r="K28" s="1973">
        <f>IF(J$39&gt;0,J28/J$39,0)</f>
        <v>0</v>
      </c>
      <c r="L28" s="1977">
        <f>SUM(L29:L31)</f>
        <v>0</v>
      </c>
      <c r="M28" s="1974">
        <f>IF(L$39&gt;0,L28/L$39,0)</f>
        <v>0</v>
      </c>
      <c r="P28" s="1982"/>
      <c r="Q28" s="3044"/>
      <c r="R28" s="1986"/>
      <c r="S28" s="1982"/>
      <c r="T28" s="1986"/>
      <c r="U28" s="1982"/>
      <c r="V28" s="1986"/>
      <c r="W28" s="1982"/>
      <c r="X28" s="1986"/>
    </row>
    <row r="29" spans="1:24" ht="16.5" customHeight="1">
      <c r="A29" s="976" t="s">
        <v>483</v>
      </c>
      <c r="B29" s="1001">
        <f>'(0) 1b. Pasivos de Partida'!B19+'(0) 1b. Pasivos de Partida'!B20</f>
        <v>0</v>
      </c>
      <c r="C29" s="994" t="str">
        <f>IF(B$39&gt;0,B29/B$39,"")</f>
        <v/>
      </c>
      <c r="D29" s="1001">
        <f>IF('(0) 3b. Préstam Financ.'!$M$9&lt;0,0,'(0) 3b. Préstam Financ.'!$M$9)</f>
        <v>0</v>
      </c>
      <c r="E29" s="1002" t="str">
        <f>IF(D$39&gt;0,D29/D$39,"")</f>
        <v/>
      </c>
      <c r="F29" s="1001">
        <f>IF('(0) 3b. Préstam Financ.'!$M$10&lt;0,0,'(0) 3b. Préstam Financ.'!$M$10)</f>
        <v>0</v>
      </c>
      <c r="G29" s="1002" t="str">
        <f>IF(F$39&gt;0,F29/F$39,"")</f>
        <v/>
      </c>
      <c r="H29" s="1001">
        <f>IF('(0) 3b. Préstam Financ.'!$M$11&lt;0,0,'(0) 3b. Préstam Financ.'!$M$11)</f>
        <v>0</v>
      </c>
      <c r="I29" s="1002" t="str">
        <f>IF(H$39&gt;0,H29/H$39,"")</f>
        <v/>
      </c>
      <c r="J29" s="1001">
        <f>IF('(0) 3b. Préstam Financ.'!$M$12&lt;0,0,'(0) 3b. Préstam Financ.'!$M$12)</f>
        <v>0</v>
      </c>
      <c r="K29" s="1002" t="str">
        <f>IF(J$39&gt;0,J29/J$39,"")</f>
        <v/>
      </c>
      <c r="L29" s="1001">
        <f>IF('(0) 3b. Préstam Financ.'!$M$13&lt;0,0,'(0) 3b. Préstam Financ.'!$M$13)</f>
        <v>0</v>
      </c>
      <c r="M29" s="1005" t="str">
        <f>IF(L$39&gt;0,L29/L$39,"")</f>
        <v/>
      </c>
      <c r="P29" s="1987"/>
      <c r="Q29" s="3059"/>
      <c r="R29" s="1979"/>
      <c r="S29" s="1979"/>
      <c r="T29" s="1979"/>
      <c r="U29" s="1979"/>
      <c r="V29" s="1979"/>
      <c r="W29" s="1979"/>
      <c r="X29" s="1979"/>
    </row>
    <row r="30" spans="1:24" ht="17.25" hidden="1" customHeight="1">
      <c r="A30" s="1353" t="s">
        <v>525</v>
      </c>
      <c r="B30" s="1345">
        <f>'(0) 1b. Pasivos de Partida'!B21</f>
        <v>0</v>
      </c>
      <c r="C30" s="994" t="str">
        <f>IF(B$39&gt;0,B30/B$39,"")</f>
        <v/>
      </c>
      <c r="D30" s="1345">
        <f>(IF('(0) 3c. Cuadro Renting y L'!M9&lt;0,0,'(0) 3c. Cuadro Renting y L'!M9))*0+'Aux.4.0.Leasing Inicial'!W21+'Aux.4.0.Leasing Inicial'!X21*0</f>
        <v>0</v>
      </c>
      <c r="E30" s="1002" t="str">
        <f>IF(D$39&gt;0,D30/D$39,"")</f>
        <v/>
      </c>
      <c r="F30" s="1345">
        <f>(IF('(0) 3c. Cuadro Renting y L'!$M$10&lt;0,0,'(0) 3c. Cuadro Renting y L'!$M$10))*0+'Aux.4.0.Leasing Inicial'!W22+'Aux.4.0.Leasing Inicial'!X22*0</f>
        <v>0</v>
      </c>
      <c r="G30" s="1002" t="str">
        <f>IF(F$39&gt;0,F30/F$39,"")</f>
        <v/>
      </c>
      <c r="H30" s="1346">
        <f>(IF('(0) 3c. Cuadro Renting y L'!$M$11&lt;0,0,'(0) 3c. Cuadro Renting y L'!$M$11))*0+'Aux.4.0.Leasing Inicial'!W23+'Aux.4.0.Leasing Inicial'!X23*0</f>
        <v>0</v>
      </c>
      <c r="I30" s="1002" t="str">
        <f>IF(H$39&gt;0,H30/H$39,"")</f>
        <v/>
      </c>
      <c r="J30" s="1345">
        <f>(IF('(0) 3c. Cuadro Renting y L'!$M$12&lt;0,0,'(0) 3c. Cuadro Renting y L'!$M$12))*0+'Aux.4.0.Leasing Inicial'!W24+'Aux.4.0.Leasing Inicial'!X24*0</f>
        <v>0</v>
      </c>
      <c r="K30" s="1002" t="str">
        <f>IF(J$39&gt;0,J30/J$39,"")</f>
        <v/>
      </c>
      <c r="L30" s="1345">
        <f>(IF('(0) 3c. Cuadro Renting y L'!$M$13&lt;0,0,'(0) 3c. Cuadro Renting y L'!$M$13))*0+'Aux.4.0.Leasing Inicial'!W25+'Aux.4.0.Leasing Inicial'!X25*0</f>
        <v>0</v>
      </c>
      <c r="M30" s="1005" t="str">
        <f>IF(L$39&gt;0,L30/L$39,"")</f>
        <v/>
      </c>
      <c r="N30" s="1587" t="s">
        <v>565</v>
      </c>
      <c r="P30" s="1979"/>
      <c r="Q30" s="3059"/>
      <c r="R30" s="1979"/>
      <c r="S30" s="1979"/>
      <c r="T30" s="1979"/>
      <c r="U30" s="1979"/>
      <c r="V30" s="1979"/>
      <c r="W30" s="1979"/>
      <c r="X30" s="1979"/>
    </row>
    <row r="31" spans="1:24" ht="16.5" customHeight="1">
      <c r="A31" s="976" t="s">
        <v>482</v>
      </c>
      <c r="B31" s="993">
        <f>'(0) 1b. Pasivos de Partida'!B22</f>
        <v>0</v>
      </c>
      <c r="C31" s="994" t="str">
        <f>IF(B$39&gt;0,B31/B$39,"")</f>
        <v/>
      </c>
      <c r="D31" s="1001">
        <f>'8. Tesorería (Ej 1º,2º)'!P43</f>
        <v>0</v>
      </c>
      <c r="E31" s="1002" t="str">
        <f>IF(D$39&gt;0,D31/D$39,"")</f>
        <v/>
      </c>
      <c r="F31" s="1001">
        <f>'8. Tesorería (Ej 1º,2º)'!AG43+F59*0</f>
        <v>0</v>
      </c>
      <c r="G31" s="1002" t="str">
        <f>IF(F$39&gt;0,F31/F$39,"")</f>
        <v/>
      </c>
      <c r="H31" s="1003">
        <f>F31+'(0) 4. Resumen Balances (5 Ej.)'!H59+'7. Plan Invers-Financ (1º,2º)'!AV50</f>
        <v>0</v>
      </c>
      <c r="I31" s="1002" t="str">
        <f>IF(H$39&gt;0,H31/H$39,"")</f>
        <v/>
      </c>
      <c r="J31" s="1003">
        <f>H31+'(0) 4. Resumen Balances (5 Ej.)'!J59+'7. Plan Invers-Financ (1º,2º)'!AY50</f>
        <v>0</v>
      </c>
      <c r="K31" s="1002" t="str">
        <f>IF(J$39&gt;0,J31/J$39,"")</f>
        <v/>
      </c>
      <c r="L31" s="1003">
        <f>J31+'(0) 4. Resumen Balances (5 Ej.)'!L59+'7. Plan Invers-Financ (1º,2º)'!BB50</f>
        <v>0</v>
      </c>
      <c r="M31" s="1005" t="str">
        <f>IF(L$39&gt;0,L31/L$39,"")</f>
        <v/>
      </c>
    </row>
    <row r="32" spans="1:24" ht="18" customHeight="1">
      <c r="A32" s="1975" t="s">
        <v>128</v>
      </c>
      <c r="B32" s="1976">
        <f>SUM(B33:B38)</f>
        <v>0</v>
      </c>
      <c r="C32" s="1973">
        <f>IF(B$39&gt;0,B32/B$39,0)</f>
        <v>0</v>
      </c>
      <c r="D32" s="1976">
        <f>SUM(D33:D38)</f>
        <v>0</v>
      </c>
      <c r="E32" s="1973">
        <f>IF(D$39&gt;0,D32/D$39,0)</f>
        <v>0</v>
      </c>
      <c r="F32" s="1977">
        <f>SUM(F33:F38)</f>
        <v>0</v>
      </c>
      <c r="G32" s="1973">
        <f>IF(F$39&gt;0,F32/F$39,0)</f>
        <v>0</v>
      </c>
      <c r="H32" s="1977">
        <f>SUM(H33:H38)</f>
        <v>0</v>
      </c>
      <c r="I32" s="1973">
        <f>IF(H$39&gt;0,H32/H$39,0)</f>
        <v>0</v>
      </c>
      <c r="J32" s="1977">
        <f>SUM(J33:J38)</f>
        <v>0</v>
      </c>
      <c r="K32" s="1973">
        <f>IF(J$39&gt;0,J32/J$39,0)</f>
        <v>0</v>
      </c>
      <c r="L32" s="1977">
        <f>SUM(L33:L38)</f>
        <v>0</v>
      </c>
      <c r="M32" s="1974">
        <f>IF(L$39&gt;0,L32/L$39,0)</f>
        <v>0</v>
      </c>
    </row>
    <row r="33" spans="1:17" ht="18" customHeight="1">
      <c r="A33" s="976" t="s">
        <v>484</v>
      </c>
      <c r="B33" s="1001">
        <v>0</v>
      </c>
      <c r="C33" s="994" t="str">
        <f t="shared" ref="C33:C38" si="19">IF(B$39&gt;0,B33/B$39,"")</f>
        <v/>
      </c>
      <c r="D33" s="1001">
        <f>IF('(0) 3b. Préstam Financ.'!$M$9+'(0) 3c. Cuadro Renting y L'!$M$9*0&lt;0,('(0) 3b. Préstam Financ.'!$M$9+'(0) 3c. Cuadro Renting y L'!$M$9*0)+('(0) 3b. Préstam Financ.'!$N$9+'(0) 3c. Cuadro Renting y L'!$N$9*0),('(0) 3b. Préstam Financ.'!$N$9+'(0) 3c. Cuadro Renting y L'!$N$9*0))+('Aux.4.0.Leasing Inicial'!X21)</f>
        <v>0</v>
      </c>
      <c r="E33" s="1002" t="str">
        <f t="shared" ref="E33:E38" si="20">IF(D$39&gt;0,D33/D$39,"")</f>
        <v/>
      </c>
      <c r="F33" s="1001">
        <f>IF('(0) 3b. Préstam Financ.'!$M$10+'(0) 3c. Cuadro Renting y L'!$M$10*0&lt;0,('(0) 3b. Préstam Financ.'!$M$10+'(0) 3c. Cuadro Renting y L'!$M$10*0)+('(0) 3b. Préstam Financ.'!$N$10+'(0) 3c. Cuadro Renting y L'!$N$10*0),('(0) 3b. Préstam Financ.'!$N$10+'(0) 3c. Cuadro Renting y L'!$N$10*0))+('Aux.4.0.Leasing Inicial'!X22)</f>
        <v>0</v>
      </c>
      <c r="G33" s="1002" t="str">
        <f t="shared" ref="G33:G38" si="21">IF(F$39&gt;0,F33/F$39,"")</f>
        <v/>
      </c>
      <c r="H33" s="1001">
        <f>IF('(0) 3b. Préstam Financ.'!$M$11+'(0) 3c. Cuadro Renting y L'!$M$11*0&lt;0,('(0) 3b. Préstam Financ.'!$M$11+'(0) 3c. Cuadro Renting y L'!$M$11*0)+('(0) 3b. Préstam Financ.'!$N$11+'(0) 3c. Cuadro Renting y L'!$N$11*0),('(0) 3b. Préstam Financ.'!$N$11+'(0) 3c. Cuadro Renting y L'!$N$11*0))+('Aux.4.0.Leasing Inicial'!X23)</f>
        <v>0</v>
      </c>
      <c r="I33" s="1002" t="str">
        <f t="shared" ref="I33:I38" si="22">IF(H$39&gt;0,H33/H$39,"")</f>
        <v/>
      </c>
      <c r="J33" s="1001">
        <f>IF('(0) 3b. Préstam Financ.'!$M$12+'(0) 3c. Cuadro Renting y L'!$M$12*0&lt;0,('(0) 3b. Préstam Financ.'!$M$12+'(0) 3c. Cuadro Renting y L'!$M$12*0)+('(0) 3b. Préstam Financ.'!$N$12+'(0) 3c. Cuadro Renting y L'!$N$12*0),('(0) 3b. Préstam Financ.'!$N$12+'(0) 3c. Cuadro Renting y L'!$N$12*0))+('Aux.4.0.Leasing Inicial'!X24)</f>
        <v>0</v>
      </c>
      <c r="K33" s="1002" t="str">
        <f t="shared" ref="K33:K38" si="23">IF(J$39&gt;0,J33/J$39,"")</f>
        <v/>
      </c>
      <c r="L33" s="1001">
        <f>IF('(0) 3b. Préstam Financ.'!$M$13+'(0) 3c. Cuadro Renting y L'!$M$13*0&lt;0,('(0) 3b. Préstam Financ.'!$M$13+'(0) 3c. Cuadro Renting y L'!$M$13*0)+('(0) 3b. Préstam Financ.'!$N$13+'(0) 3c. Cuadro Renting y L'!$N$13*0),('(0) 3b. Préstam Financ.'!$N$13+'(0) 3c. Cuadro Renting y L'!$N$13*0))+('Aux.4.0.Leasing Inicial'!X25)</f>
        <v>0</v>
      </c>
      <c r="M33" s="1005" t="str">
        <f t="shared" ref="M33:M38" si="24">IF(L$39&gt;0,L33/L$39,"")</f>
        <v/>
      </c>
    </row>
    <row r="34" spans="1:17" ht="16.5" customHeight="1">
      <c r="A34" s="974" t="s">
        <v>126</v>
      </c>
      <c r="B34" s="1001">
        <f>Acreedores_CP_Financieros</f>
        <v>0</v>
      </c>
      <c r="C34" s="994" t="str">
        <f t="shared" si="19"/>
        <v/>
      </c>
      <c r="D34" s="1001">
        <f>B34+'8. Tesorería (Ej 1º,2º)'!O15-'8. Tesorería (Ej 1º,2º)'!O42</f>
        <v>0</v>
      </c>
      <c r="E34" s="1002" t="str">
        <f t="shared" si="20"/>
        <v/>
      </c>
      <c r="F34" s="1003">
        <f>D34+'8. Tesorería (Ej 1º,2º)'!AF15-'8. Tesorería (Ej 1º,2º)'!AF42+F60*0</f>
        <v>0</v>
      </c>
      <c r="G34" s="1002" t="str">
        <f t="shared" si="21"/>
        <v/>
      </c>
      <c r="H34" s="1003">
        <f>F34+H60</f>
        <v>0</v>
      </c>
      <c r="I34" s="1002" t="str">
        <f t="shared" si="22"/>
        <v/>
      </c>
      <c r="J34" s="1003">
        <f>H34+J60</f>
        <v>0</v>
      </c>
      <c r="K34" s="1002" t="str">
        <f t="shared" si="23"/>
        <v/>
      </c>
      <c r="L34" s="1003">
        <f>J34+L60</f>
        <v>0</v>
      </c>
      <c r="M34" s="1005" t="str">
        <f t="shared" si="24"/>
        <v/>
      </c>
    </row>
    <row r="35" spans="1:17" ht="16.5" customHeight="1">
      <c r="A35" s="974" t="s">
        <v>53</v>
      </c>
      <c r="B35" s="1001">
        <f>'(0) 1b. Pasivos de Partida'!B25</f>
        <v>0</v>
      </c>
      <c r="C35" s="994" t="str">
        <f t="shared" si="19"/>
        <v/>
      </c>
      <c r="D35" s="1001">
        <f>'3.Costes D.V. y Pagos (1º,2º)'!Q76+('3.Costes D.V. y Pagos (1º,2º)'!Q80)</f>
        <v>0</v>
      </c>
      <c r="E35" s="1002" t="str">
        <f t="shared" si="20"/>
        <v/>
      </c>
      <c r="F35" s="1001">
        <f>'3.Costes D.V. y Pagos (1º,2º)'!AL76+('3.Costes D.V. y Pagos (1º,2º)'!AL80)+F61*0</f>
        <v>0</v>
      </c>
      <c r="G35" s="1002" t="str">
        <f t="shared" si="21"/>
        <v/>
      </c>
      <c r="H35" s="1003">
        <f>IF('(0) 5. Resumen P y G (5 Ej.)'!L47=0,(F35*(1+'(0) 5. Resumen P y G (5 Ej.)'!L17)+H61),((F35*(1+('(0) 5. Resumen P y G (5 Ej.)'!L17+'(0) 5. Resumen P y G (5 Ej.)'!L47)+H61))))</f>
        <v>0</v>
      </c>
      <c r="I35" s="1002" t="str">
        <f t="shared" si="22"/>
        <v/>
      </c>
      <c r="J35" s="1003">
        <f>IF('(0) 5. Resumen P y G (5 Ej.)'!O47=0,(H35*(1+'(0) 5. Resumen P y G (5 Ej.)'!O17)+J61),((H35*(1+('(0) 5. Resumen P y G (5 Ej.)'!O17+'(0) 5. Resumen P y G (5 Ej.)'!O47)+J61))))</f>
        <v>0</v>
      </c>
      <c r="K35" s="1002" t="str">
        <f t="shared" si="23"/>
        <v/>
      </c>
      <c r="L35" s="1003">
        <f>IF('(0) 5. Resumen P y G (5 Ej.)'!R47=0,(J35*(1+'(0) 5. Resumen P y G (5 Ej.)'!R17)+L61),((J35*(1+('(0) 5. Resumen P y G (5 Ej.)'!R17+'(0) 5. Resumen P y G (5 Ej.)'!R47)+L61))))</f>
        <v>0</v>
      </c>
      <c r="M35" s="1005" t="str">
        <f t="shared" si="24"/>
        <v/>
      </c>
    </row>
    <row r="36" spans="1:17" ht="16.5" hidden="1" customHeight="1">
      <c r="A36" s="1353" t="s">
        <v>527</v>
      </c>
      <c r="B36" s="1345">
        <f>'(0) 1b. Pasivos de Partida'!B26</f>
        <v>0</v>
      </c>
      <c r="C36" s="994" t="str">
        <f t="shared" si="19"/>
        <v/>
      </c>
      <c r="D36" s="1345">
        <f>(B36-'8. Tesorería (Ej 1º,2º)'!O43)*0+'8. Tesorería (Ej 1º,2º)'!P44</f>
        <v>0</v>
      </c>
      <c r="E36" s="1002" t="str">
        <f t="shared" si="20"/>
        <v/>
      </c>
      <c r="F36" s="1345">
        <f>'8. Tesorería (Ej 1º,2º)'!AG44+F62*0</f>
        <v>0</v>
      </c>
      <c r="G36" s="1002" t="str">
        <f t="shared" si="21"/>
        <v/>
      </c>
      <c r="H36" s="1354">
        <f>F36+'(0) 4. Resumen Balances (5 Ej.)'!H62</f>
        <v>0</v>
      </c>
      <c r="I36" s="1002" t="str">
        <f t="shared" si="22"/>
        <v/>
      </c>
      <c r="J36" s="1354">
        <f>H36+'(0) 4. Resumen Balances (5 Ej.)'!J62</f>
        <v>0</v>
      </c>
      <c r="K36" s="1002" t="str">
        <f t="shared" si="23"/>
        <v/>
      </c>
      <c r="L36" s="1354">
        <f>J36+'(0) 4. Resumen Balances (5 Ej.)'!L62</f>
        <v>0</v>
      </c>
      <c r="M36" s="1005" t="str">
        <f t="shared" si="24"/>
        <v/>
      </c>
    </row>
    <row r="37" spans="1:17" ht="16.5" customHeight="1">
      <c r="A37" s="976" t="s">
        <v>275</v>
      </c>
      <c r="B37" s="993">
        <f>'(0) 1b. Pasivos de Partida'!B27</f>
        <v>0</v>
      </c>
      <c r="C37" s="994" t="str">
        <f t="shared" si="19"/>
        <v/>
      </c>
      <c r="D37" s="1012">
        <f>('8. Tesorería (Ej 1º,2º)'!P33+'8. Tesorería (Ej 1º,2º)'!P23)+'8. Tesorería (Ej 1º,2º)'!P21</f>
        <v>0</v>
      </c>
      <c r="E37" s="1002" t="str">
        <f t="shared" si="20"/>
        <v/>
      </c>
      <c r="F37" s="1012">
        <f>('8. Tesorería (Ej 1º,2º)'!AG33+'8. Tesorería (Ej 1º,2º)'!AG23)+'8. Tesorería (Ej 1º,2º)'!AG21+F63*0</f>
        <v>0</v>
      </c>
      <c r="G37" s="1002" t="str">
        <f t="shared" si="21"/>
        <v/>
      </c>
      <c r="H37" s="1003">
        <f>F37+'(0) 4. Resumen Balances (5 Ej.)'!H63</f>
        <v>0</v>
      </c>
      <c r="I37" s="1002" t="str">
        <f t="shared" si="22"/>
        <v/>
      </c>
      <c r="J37" s="1003">
        <f>H37+'(0) 4. Resumen Balances (5 Ej.)'!J63</f>
        <v>0</v>
      </c>
      <c r="K37" s="1002" t="str">
        <f t="shared" si="23"/>
        <v/>
      </c>
      <c r="L37" s="1003">
        <f>J37+'(0) 4. Resumen Balances (5 Ej.)'!L63</f>
        <v>0</v>
      </c>
      <c r="M37" s="1005" t="str">
        <f t="shared" si="24"/>
        <v/>
      </c>
    </row>
    <row r="38" spans="1:17" ht="17.25" customHeight="1" thickBot="1">
      <c r="A38" s="974" t="s">
        <v>370</v>
      </c>
      <c r="B38" s="993">
        <f>'(0) 1b. Pasivos de Partida'!B28+'(0) 1b. Pasivos de Partida'!B31</f>
        <v>0</v>
      </c>
      <c r="C38" s="994" t="str">
        <f t="shared" si="19"/>
        <v/>
      </c>
      <c r="D38" s="1001">
        <f>IF('8. Tesorería (Ej 1º,2º)'!P50+'8. Tesorería (Ej 1º,2º)'!P49&gt;0,'8. Tesorería (Ej 1º,2º)'!P50+'8. Tesorería (Ej 1º,2º)'!P49+'6. P y G (Ej 1º,2º)'!H43+('3.Costes D.V. y Pagos (1º,2º)'!Q82),0+'6. P y G (Ej 1º,2º)'!H43+('3.Costes D.V. y Pagos (1º,2º)'!Q82))</f>
        <v>0</v>
      </c>
      <c r="E38" s="1002" t="str">
        <f t="shared" si="20"/>
        <v/>
      </c>
      <c r="F38" s="1003">
        <f>IF(('8. Tesorería (Ej 1º,2º)'!$AG$49+'8. Tesorería (Ej 1º,2º)'!$AG$50)&gt;0,('8. Tesorería (Ej 1º,2º)'!$AG$49+'8. Tesorería (Ej 1º,2º)'!$AG$50),0)+('(0) 5. Resumen P y G (5 Ej.)'!G45)+'3.Costes D.V. y Pagos (1º,2º)'!AL82+F65</f>
        <v>0</v>
      </c>
      <c r="G38" s="1002" t="str">
        <f t="shared" si="21"/>
        <v/>
      </c>
      <c r="H38" s="1003">
        <f>IF(('8. Tesorería (Ej 1º,2º)'!$AG$49+'8. Tesorería (Ej 1º,2º)'!$AG$50)*(1+'(0) 5. Resumen P y G (5 Ej.)'!$L$8)&gt;0,('8. Tesorería (Ej 1º,2º)'!$AG$49+'8. Tesorería (Ej 1º,2º)'!$AG$50)*(1+'(0) 5. Resumen P y G (5 Ej.)'!$L$8)+'(0) 5. Resumen P y G (5 Ej.)'!J45,0+'(0) 5. Resumen P y G (5 Ej.)'!J45)+'3.Costes D.V. y Pagos (1º,2º)'!AL82+H65</f>
        <v>0</v>
      </c>
      <c r="I38" s="1002" t="str">
        <f t="shared" si="22"/>
        <v/>
      </c>
      <c r="J38" s="1003">
        <f>IF(('8. Tesorería (Ej 1º,2º)'!$AG$49+'8. Tesorería (Ej 1º,2º)'!$AG$50)*(1+'(0) 5. Resumen P y G (5 Ej.)'!$L$8)*(1+'(0) 5. Resumen P y G (5 Ej.)'!$O$8)&gt;0,('8. Tesorería (Ej 1º,2º)'!$AG$49+'8. Tesorería (Ej 1º,2º)'!$AG$50)*(1+'(0) 5. Resumen P y G (5 Ej.)'!$L$8)*(1+'(0) 5. Resumen P y G (5 Ej.)'!$O$8)+'(0) 5. Resumen P y G (5 Ej.)'!M45,0+'(0) 5. Resumen P y G (5 Ej.)'!M45)+'3.Costes D.V. y Pagos (1º,2º)'!AL82+J65</f>
        <v>0</v>
      </c>
      <c r="K38" s="1002" t="str">
        <f t="shared" si="23"/>
        <v/>
      </c>
      <c r="L38" s="1003">
        <f>IF(('8. Tesorería (Ej 1º,2º)'!$AG$49+'8. Tesorería (Ej 1º,2º)'!$AG$50)*(1+'(0) 5. Resumen P y G (5 Ej.)'!$L$8)*(1+'(0) 5. Resumen P y G (5 Ej.)'!$O$8)*(1+'(0) 5. Resumen P y G (5 Ej.)'!R8)&gt;0,('8. Tesorería (Ej 1º,2º)'!$AG$49+'8. Tesorería (Ej 1º,2º)'!$AG$50)*(1+'(0) 5. Resumen P y G (5 Ej.)'!$L$8)*(1+'(0) 5. Resumen P y G (5 Ej.)'!$O$8)*(1+'(0) 5. Resumen P y G (5 Ej.)'!R8)+'(0) 5. Resumen P y G (5 Ej.)'!P45,0+'(0) 5. Resumen P y G (5 Ej.)'!P45)+'3.Costes D.V. y Pagos (1º,2º)'!AL82+L65</f>
        <v>0</v>
      </c>
      <c r="M38" s="1005" t="str">
        <f t="shared" si="24"/>
        <v/>
      </c>
      <c r="P38" s="977"/>
    </row>
    <row r="39" spans="1:17" s="726" customFormat="1" ht="19.5" customHeight="1" thickBot="1">
      <c r="A39" s="1967" t="s">
        <v>179</v>
      </c>
      <c r="B39" s="1968">
        <f t="shared" ref="B39:M39" si="25">B20+B28+B32</f>
        <v>0</v>
      </c>
      <c r="C39" s="1969">
        <f t="shared" si="25"/>
        <v>0</v>
      </c>
      <c r="D39" s="1968">
        <f t="shared" si="25"/>
        <v>0</v>
      </c>
      <c r="E39" s="1969">
        <f t="shared" si="25"/>
        <v>0</v>
      </c>
      <c r="F39" s="1968">
        <f t="shared" si="25"/>
        <v>0</v>
      </c>
      <c r="G39" s="1969">
        <f t="shared" si="25"/>
        <v>0</v>
      </c>
      <c r="H39" s="1968">
        <f t="shared" si="25"/>
        <v>0</v>
      </c>
      <c r="I39" s="1969">
        <f t="shared" si="25"/>
        <v>0</v>
      </c>
      <c r="J39" s="1968">
        <f t="shared" si="25"/>
        <v>0</v>
      </c>
      <c r="K39" s="1969">
        <f t="shared" si="25"/>
        <v>0</v>
      </c>
      <c r="L39" s="1968">
        <f t="shared" si="25"/>
        <v>0</v>
      </c>
      <c r="M39" s="1970">
        <f t="shared" si="25"/>
        <v>0</v>
      </c>
      <c r="Q39" s="3060"/>
    </row>
    <row r="40" spans="1:17" s="726" customFormat="1" ht="16.5" customHeight="1" thickTop="1" thickBot="1">
      <c r="A40" s="800"/>
      <c r="B40" s="1013"/>
      <c r="C40" s="1014"/>
      <c r="D40" s="1013"/>
      <c r="E40" s="1013"/>
      <c r="F40" s="1013"/>
      <c r="G40" s="1013"/>
      <c r="H40" s="1013"/>
      <c r="I40" s="1013"/>
      <c r="J40" s="1013"/>
      <c r="K40" s="1013"/>
      <c r="L40" s="1013"/>
      <c r="M40" s="1013"/>
      <c r="Q40" s="3060"/>
    </row>
    <row r="41" spans="1:17" s="726" customFormat="1" ht="16.5" customHeight="1" thickTop="1">
      <c r="A41" s="1235" t="s">
        <v>490</v>
      </c>
      <c r="B41" s="1015">
        <f>B26+B29+B33+B34</f>
        <v>0</v>
      </c>
      <c r="C41" s="1016" t="str">
        <f>IF(B$39&gt;0,B41/B$39,"")</f>
        <v/>
      </c>
      <c r="D41" s="1015">
        <f>D26+D29+D33+D34</f>
        <v>0</v>
      </c>
      <c r="E41" s="1017" t="str">
        <f>IF(D$39&gt;0,D41/D$39,"")</f>
        <v/>
      </c>
      <c r="F41" s="1015">
        <f>F26+F29+F33+F34</f>
        <v>0</v>
      </c>
      <c r="G41" s="1018" t="str">
        <f>IF(F$39&gt;0,F41/F$39,"")</f>
        <v/>
      </c>
      <c r="H41" s="1015">
        <f>H26+H29+H33+H34</f>
        <v>0</v>
      </c>
      <c r="I41" s="1018" t="str">
        <f>IF(H$39&gt;0,H41/H$39,"")</f>
        <v/>
      </c>
      <c r="J41" s="1015">
        <f>J26+J29+J33+J34</f>
        <v>0</v>
      </c>
      <c r="K41" s="1018" t="str">
        <f>IF(J$39&gt;0,J41/J$39,"")</f>
        <v/>
      </c>
      <c r="L41" s="1015">
        <f>L26+L29+L33+L34</f>
        <v>0</v>
      </c>
      <c r="M41" s="1019" t="str">
        <f>IF(L$39&gt;0,L41/L$39,"")</f>
        <v/>
      </c>
      <c r="Q41" s="3060"/>
    </row>
    <row r="42" spans="1:17" s="726" customFormat="1" ht="16.5" customHeight="1" thickBot="1">
      <c r="A42" s="1236" t="s">
        <v>491</v>
      </c>
      <c r="B42" s="1020">
        <f>'(0) 1b. Pasivos de Partida'!B21</f>
        <v>0</v>
      </c>
      <c r="C42" s="1021" t="str">
        <f>IF(B$39&gt;0,B42/B$39,"")</f>
        <v/>
      </c>
      <c r="D42" s="1022">
        <f>'(0) 3c. Cuadro Renting y L'!L9</f>
        <v>0</v>
      </c>
      <c r="E42" s="1023" t="str">
        <f>IF(D$39&gt;0,D42/D$39,"")</f>
        <v/>
      </c>
      <c r="F42" s="1024">
        <f>'(0) 3c. Cuadro Renting y L'!L10</f>
        <v>0</v>
      </c>
      <c r="G42" s="1025" t="str">
        <f>IF(F$39&gt;0,F42/F$39,"")</f>
        <v/>
      </c>
      <c r="H42" s="1024">
        <f>'(0) 3c. Cuadro Renting y L'!L11</f>
        <v>0</v>
      </c>
      <c r="I42" s="1025" t="str">
        <f>IF(H$39&gt;0,H42/H$39,"")</f>
        <v/>
      </c>
      <c r="J42" s="1024">
        <f>'(0) 3c. Cuadro Renting y L'!L12</f>
        <v>0</v>
      </c>
      <c r="K42" s="1025" t="str">
        <f>IF(J$39&gt;0,J42/J$39,"")</f>
        <v/>
      </c>
      <c r="L42" s="1024">
        <f>'(0) 3c. Cuadro Renting y L'!L13</f>
        <v>0</v>
      </c>
      <c r="M42" s="1026" t="str">
        <f>IF(L$39&gt;0,L42/L$39,"")</f>
        <v/>
      </c>
      <c r="Q42" s="3060"/>
    </row>
    <row r="43" spans="1:17" s="726" customFormat="1" ht="8.25" customHeight="1" thickTop="1" thickBot="1">
      <c r="A43" s="785"/>
      <c r="B43" s="1013"/>
      <c r="C43" s="1027"/>
      <c r="D43" s="1013"/>
      <c r="E43" s="1027"/>
      <c r="F43" s="1013"/>
      <c r="G43" s="1027"/>
      <c r="H43" s="1013"/>
      <c r="I43" s="1027"/>
      <c r="J43" s="1013"/>
      <c r="K43" s="1027"/>
      <c r="L43" s="1013"/>
      <c r="M43" s="1027"/>
      <c r="Q43" s="3060"/>
    </row>
    <row r="44" spans="1:17" ht="17.25" customHeight="1" thickTop="1">
      <c r="A44" s="978" t="s">
        <v>47</v>
      </c>
      <c r="B44" s="1028">
        <f>B20+B28</f>
        <v>0</v>
      </c>
      <c r="C44" s="1029" t="str">
        <f>IF(B44&lt;0,"NS",IF(B$39&lt;0,"NS",IF(B39=0,"",B44/B$39)))</f>
        <v/>
      </c>
      <c r="D44" s="1028">
        <f>D20+D28</f>
        <v>0</v>
      </c>
      <c r="E44" s="1029" t="str">
        <f>IF(D44&lt;0,"NS",IF(D$39&lt;0,"NS",IF(D39=0,"",D44/D$39)))</f>
        <v/>
      </c>
      <c r="F44" s="1028">
        <f>F20+F28</f>
        <v>0</v>
      </c>
      <c r="G44" s="1029" t="str">
        <f>IF(F44&lt;0,"NS",IF(F$39&lt;0,"NS",IF(F39=0,"",F44/F$39)))</f>
        <v/>
      </c>
      <c r="H44" s="1028">
        <f>H20+H28</f>
        <v>0</v>
      </c>
      <c r="I44" s="1029" t="str">
        <f>IF(H44&lt;0,"NS",IF(H$39&lt;0,"NS",IF(H39=0,"",H44/H$39)))</f>
        <v/>
      </c>
      <c r="J44" s="1028">
        <f>J20+J28</f>
        <v>0</v>
      </c>
      <c r="K44" s="1029" t="str">
        <f>IF(J44&lt;0,"NS",IF(J$39&lt;0,"NS",IF(J39=0,"",J44/J$39)))</f>
        <v/>
      </c>
      <c r="L44" s="1028">
        <f>L20+L28</f>
        <v>0</v>
      </c>
      <c r="M44" s="1030" t="str">
        <f>IF(L44&lt;0,"NS",IF(L$39&lt;0,"NS",IF(L39=0,"",L44/L$39)))</f>
        <v/>
      </c>
    </row>
    <row r="45" spans="1:17" ht="16.5" customHeight="1" thickBot="1">
      <c r="A45" s="979" t="s">
        <v>48</v>
      </c>
      <c r="B45" s="1031">
        <f>B28+B32</f>
        <v>0</v>
      </c>
      <c r="C45" s="1032" t="str">
        <f>IF(B45&lt;0,"NS",IF(B$39&lt;0,"NS",IF(B39=0,"",B45/B$39)))</f>
        <v/>
      </c>
      <c r="D45" s="1031">
        <f>D28+D32</f>
        <v>0</v>
      </c>
      <c r="E45" s="1032" t="str">
        <f>IF(D45&lt;0,"NS",IF(D$39&lt;0,"NS",IF(D39=0,"",D45/D$39)))</f>
        <v/>
      </c>
      <c r="F45" s="1031">
        <f>F28+F32</f>
        <v>0</v>
      </c>
      <c r="G45" s="1032" t="str">
        <f>IF(F45&lt;0,"NS",IF(F$39&lt;0,"NS",IF(F39=0,"",F45/F$39)))</f>
        <v/>
      </c>
      <c r="H45" s="1031">
        <f>H28+H32</f>
        <v>0</v>
      </c>
      <c r="I45" s="1032" t="str">
        <f>IF(H45&lt;0,"NS",IF(H$39&lt;0,"NS",IF(H39=0,"",H45/H$39)))</f>
        <v/>
      </c>
      <c r="J45" s="1031">
        <f>J28+J32</f>
        <v>0</v>
      </c>
      <c r="K45" s="1032" t="str">
        <f>IF(J45&lt;0,"NS",IF(J$39&lt;0,"NS",IF(J39=0,"",J45/J$39)))</f>
        <v/>
      </c>
      <c r="L45" s="1031">
        <f>L28+L32</f>
        <v>0</v>
      </c>
      <c r="M45" s="1033" t="str">
        <f>IF(L45&lt;0,"NS",IF(L$39&lt;0,"NS",IF(L39=0,"",L45/L$39)))</f>
        <v/>
      </c>
    </row>
    <row r="46" spans="1:17" ht="17.25" customHeight="1" thickTop="1">
      <c r="B46" s="1034"/>
      <c r="C46" s="1035"/>
      <c r="D46" s="1034"/>
      <c r="E46" s="1034"/>
      <c r="F46" s="1034"/>
      <c r="G46" s="1034"/>
      <c r="H46" s="1034"/>
      <c r="I46" s="1034"/>
      <c r="J46" s="1034"/>
      <c r="K46" s="1034"/>
      <c r="L46" s="1034"/>
      <c r="M46" s="1034"/>
    </row>
    <row r="47" spans="1:17" ht="15.75">
      <c r="A47" s="882" t="s">
        <v>204</v>
      </c>
      <c r="B47" s="1036">
        <f>B19-B39</f>
        <v>0</v>
      </c>
      <c r="C47" s="1036"/>
      <c r="D47" s="1036">
        <f>D19-D39</f>
        <v>0</v>
      </c>
      <c r="E47" s="1036"/>
      <c r="F47" s="1036">
        <f>F19-F39</f>
        <v>0</v>
      </c>
      <c r="G47" s="1036"/>
      <c r="H47" s="1036">
        <f>H19-H39</f>
        <v>0</v>
      </c>
      <c r="I47" s="1036"/>
      <c r="J47" s="1036">
        <f>J19-J39</f>
        <v>0</v>
      </c>
      <c r="K47" s="1036"/>
      <c r="L47" s="1036">
        <f>L19-L39</f>
        <v>0</v>
      </c>
      <c r="M47" s="1037"/>
    </row>
    <row r="48" spans="1:17" ht="15.75">
      <c r="A48" s="729" t="s">
        <v>236</v>
      </c>
      <c r="B48" s="882"/>
      <c r="C48" s="981"/>
      <c r="D48" s="882"/>
      <c r="E48" s="882"/>
      <c r="F48" s="812"/>
      <c r="G48" s="882"/>
      <c r="H48" s="882"/>
      <c r="I48" s="882"/>
      <c r="J48" s="882"/>
      <c r="K48" s="882"/>
      <c r="L48" s="882"/>
      <c r="M48" s="882"/>
    </row>
    <row r="49" spans="1:13" ht="11.25" customHeight="1">
      <c r="A49" s="729"/>
      <c r="B49" s="882"/>
      <c r="C49" s="981"/>
      <c r="D49" s="977"/>
      <c r="E49" s="977"/>
      <c r="F49" s="977"/>
      <c r="G49" s="977"/>
      <c r="H49" s="977"/>
      <c r="I49" s="977"/>
      <c r="J49" s="977"/>
      <c r="K49" s="982"/>
      <c r="L49" s="982"/>
      <c r="M49" s="280"/>
    </row>
    <row r="50" spans="1:13" s="3054" customFormat="1" ht="15" customHeight="1">
      <c r="A50" s="3064"/>
      <c r="C50" s="3065"/>
      <c r="D50" s="3066"/>
      <c r="E50" s="3066"/>
      <c r="F50" s="3066"/>
      <c r="G50" s="3066"/>
      <c r="H50" s="3066"/>
      <c r="I50" s="3066"/>
      <c r="J50" s="3066"/>
      <c r="K50" s="3067"/>
      <c r="L50" s="3068"/>
      <c r="M50" s="3069"/>
    </row>
    <row r="51" spans="1:13" ht="22.5" hidden="1" customHeight="1">
      <c r="A51" s="1097" t="s">
        <v>492</v>
      </c>
      <c r="D51" s="984"/>
      <c r="F51" s="985"/>
      <c r="G51" s="985"/>
      <c r="H51" s="985"/>
      <c r="I51" s="985"/>
      <c r="J51" s="985"/>
      <c r="K51" s="985"/>
      <c r="L51" s="985"/>
      <c r="M51" s="280"/>
    </row>
    <row r="52" spans="1:13" ht="11.25" hidden="1" customHeight="1">
      <c r="A52" s="556"/>
      <c r="D52" s="984"/>
      <c r="F52" s="985"/>
      <c r="G52" s="985"/>
      <c r="H52" s="985"/>
      <c r="I52" s="985"/>
      <c r="J52" s="985"/>
      <c r="K52" s="985"/>
      <c r="L52" s="985"/>
      <c r="M52" s="280"/>
    </row>
    <row r="53" spans="1:13" ht="21" hidden="1" customHeight="1">
      <c r="A53" s="345" t="s">
        <v>448</v>
      </c>
      <c r="B53" s="274"/>
      <c r="C53" s="275"/>
      <c r="D53" s="275"/>
      <c r="E53" s="275"/>
      <c r="F53" s="275"/>
      <c r="G53" s="275"/>
      <c r="H53" s="275"/>
      <c r="I53" s="275"/>
      <c r="J53" s="275"/>
      <c r="K53" s="275"/>
      <c r="L53" s="275"/>
      <c r="M53" s="280"/>
    </row>
    <row r="54" spans="1:13" hidden="1" thickBot="1">
      <c r="A54" s="983"/>
    </row>
    <row r="55" spans="1:13" hidden="1" thickTop="1">
      <c r="A55" s="3995" t="s">
        <v>38</v>
      </c>
      <c r="B55" s="3996"/>
      <c r="C55" s="3997"/>
      <c r="D55" s="3989">
        <f>'1.Datos Básicos. Product-Serv'!B11</f>
        <v>0</v>
      </c>
      <c r="E55" s="3045"/>
      <c r="F55" s="3989">
        <f>'1.Datos Básicos. Product-Serv'!E11</f>
        <v>1</v>
      </c>
      <c r="G55" s="3045"/>
      <c r="H55" s="3989">
        <f>'1.Datos Básicos. Product-Serv'!F11</f>
        <v>2</v>
      </c>
      <c r="I55" s="3045"/>
      <c r="J55" s="3989">
        <f>'1.Datos Básicos. Product-Serv'!G11</f>
        <v>3</v>
      </c>
      <c r="K55" s="3045"/>
      <c r="L55" s="3991">
        <f>'1.Datos Básicos. Product-Serv'!H11</f>
        <v>4</v>
      </c>
    </row>
    <row r="56" spans="1:13" hidden="1" thickBot="1">
      <c r="A56" s="3998"/>
      <c r="B56" s="3999"/>
      <c r="C56" s="4000"/>
      <c r="D56" s="3990"/>
      <c r="E56" s="3046"/>
      <c r="F56" s="3990"/>
      <c r="G56" s="3046"/>
      <c r="H56" s="3990"/>
      <c r="I56" s="3046"/>
      <c r="J56" s="3990"/>
      <c r="K56" s="3046"/>
      <c r="L56" s="3992"/>
    </row>
    <row r="57" spans="1:13" ht="15.75" hidden="1">
      <c r="A57" s="4012" t="s">
        <v>375</v>
      </c>
      <c r="B57" s="4013"/>
      <c r="C57" s="986"/>
      <c r="D57" s="987"/>
      <c r="E57" s="988"/>
      <c r="F57" s="833"/>
      <c r="G57" s="988"/>
      <c r="H57" s="833"/>
      <c r="I57" s="988"/>
      <c r="J57" s="833"/>
      <c r="K57" s="988"/>
      <c r="L57" s="833"/>
    </row>
    <row r="58" spans="1:13" ht="6.75" hidden="1" customHeight="1">
      <c r="A58" s="3047"/>
      <c r="B58" s="2994"/>
      <c r="C58" s="3048"/>
      <c r="D58" s="3049"/>
      <c r="E58" s="3050"/>
      <c r="F58" s="3051"/>
      <c r="G58" s="3050"/>
      <c r="H58" s="3049"/>
      <c r="I58" s="3050"/>
      <c r="J58" s="3049"/>
      <c r="K58" s="3050"/>
      <c r="L58" s="3052"/>
    </row>
    <row r="59" spans="1:13" ht="15.75" hidden="1">
      <c r="A59" s="4003" t="s">
        <v>497</v>
      </c>
      <c r="B59" s="4004"/>
      <c r="C59" s="989"/>
      <c r="D59" s="1038"/>
      <c r="E59" s="1039"/>
      <c r="F59" s="1358"/>
      <c r="G59" s="1039"/>
      <c r="H59" s="3030"/>
      <c r="I59" s="1039"/>
      <c r="J59" s="3030"/>
      <c r="K59" s="1039"/>
      <c r="L59" s="3033"/>
    </row>
    <row r="60" spans="1:13" ht="15.75" hidden="1">
      <c r="A60" s="4010" t="s">
        <v>376</v>
      </c>
      <c r="B60" s="4011"/>
      <c r="C60" s="990"/>
      <c r="D60" s="1040"/>
      <c r="E60" s="1039"/>
      <c r="F60" s="1358"/>
      <c r="G60" s="1039"/>
      <c r="H60" s="3030"/>
      <c r="I60" s="1039"/>
      <c r="J60" s="3030"/>
      <c r="K60" s="1039"/>
      <c r="L60" s="3033"/>
    </row>
    <row r="61" spans="1:13" ht="15.75" hidden="1">
      <c r="A61" s="4010" t="s">
        <v>377</v>
      </c>
      <c r="B61" s="4011"/>
      <c r="C61" s="990"/>
      <c r="D61" s="1041"/>
      <c r="E61" s="1039"/>
      <c r="F61" s="1358"/>
      <c r="G61" s="1039"/>
      <c r="H61" s="3030"/>
      <c r="I61" s="1039"/>
      <c r="J61" s="3030"/>
      <c r="K61" s="1039"/>
      <c r="L61" s="3033"/>
    </row>
    <row r="62" spans="1:13" ht="15.75" hidden="1">
      <c r="A62" s="4001" t="s">
        <v>378</v>
      </c>
      <c r="B62" s="4002"/>
      <c r="C62" s="1381"/>
      <c r="D62" s="1042"/>
      <c r="E62" s="1039"/>
      <c r="F62" s="1358"/>
      <c r="G62" s="1039"/>
      <c r="H62" s="3031"/>
      <c r="I62" s="1039"/>
      <c r="J62" s="3031"/>
      <c r="K62" s="1039"/>
      <c r="L62" s="3034"/>
    </row>
    <row r="63" spans="1:13" ht="15.75" hidden="1">
      <c r="A63" s="4010" t="s">
        <v>379</v>
      </c>
      <c r="B63" s="4011"/>
      <c r="C63" s="991"/>
      <c r="D63" s="1041"/>
      <c r="E63" s="1039"/>
      <c r="F63" s="1359"/>
      <c r="G63" s="1039"/>
      <c r="H63" s="3031"/>
      <c r="I63" s="1039"/>
      <c r="J63" s="3031"/>
      <c r="K63" s="1039"/>
      <c r="L63" s="3034"/>
    </row>
    <row r="64" spans="1:13" ht="15.75" hidden="1">
      <c r="A64" s="4008" t="s">
        <v>531</v>
      </c>
      <c r="B64" s="4009"/>
      <c r="C64" s="1361"/>
      <c r="D64" s="1041"/>
      <c r="E64" s="1039"/>
      <c r="F64" s="1359"/>
      <c r="G64" s="1039"/>
      <c r="H64" s="3031"/>
      <c r="I64" s="1039"/>
      <c r="J64" s="3031"/>
      <c r="K64" s="1039"/>
      <c r="L64" s="3034"/>
    </row>
    <row r="65" spans="1:12" hidden="1" thickBot="1">
      <c r="A65" s="4005" t="s">
        <v>380</v>
      </c>
      <c r="B65" s="4006"/>
      <c r="C65" s="4007"/>
      <c r="D65" s="1043"/>
      <c r="E65" s="1044"/>
      <c r="F65" s="1360"/>
      <c r="G65" s="1044"/>
      <c r="H65" s="3032"/>
      <c r="I65" s="1044"/>
      <c r="J65" s="3032"/>
      <c r="K65" s="1044"/>
      <c r="L65" s="3035"/>
    </row>
    <row r="66" spans="1:12" hidden="1" thickTop="1">
      <c r="A66" s="881"/>
      <c r="C66" s="881"/>
    </row>
    <row r="68" spans="1:12" ht="24">
      <c r="A68" s="556"/>
    </row>
    <row r="69" spans="1:12" ht="24">
      <c r="A69" s="556"/>
    </row>
    <row r="70" spans="1:12" ht="22.5" customHeight="1">
      <c r="A70" s="800"/>
    </row>
    <row r="72" spans="1:12" ht="32.25" customHeight="1">
      <c r="A72" s="992"/>
      <c r="B72" s="882"/>
      <c r="C72" s="977"/>
    </row>
    <row r="73" spans="1:12" ht="30.75" customHeight="1">
      <c r="B73" s="882"/>
      <c r="C73" s="882"/>
    </row>
    <row r="74" spans="1:12" ht="22.5" customHeight="1">
      <c r="B74" s="882"/>
      <c r="C74" s="882"/>
    </row>
    <row r="75" spans="1:12" ht="22.5" customHeight="1">
      <c r="B75" s="882"/>
      <c r="C75" s="882"/>
    </row>
    <row r="76" spans="1:12" ht="22.5" customHeight="1">
      <c r="B76" s="882"/>
      <c r="C76" s="882"/>
    </row>
    <row r="77" spans="1:12" ht="21.75" customHeight="1">
      <c r="B77" s="882"/>
      <c r="C77" s="882"/>
    </row>
  </sheetData>
  <sheetProtection sheet="1" formatColumns="0" formatRows="0"/>
  <dataConsolidate/>
  <mergeCells count="67">
    <mergeCell ref="A65:C65"/>
    <mergeCell ref="A64:B64"/>
    <mergeCell ref="A61:B61"/>
    <mergeCell ref="A60:B60"/>
    <mergeCell ref="A57:B57"/>
    <mergeCell ref="A63:B63"/>
    <mergeCell ref="A3:D3"/>
    <mergeCell ref="D5:E5"/>
    <mergeCell ref="A55:C56"/>
    <mergeCell ref="A62:B62"/>
    <mergeCell ref="H5:I5"/>
    <mergeCell ref="H55:H56"/>
    <mergeCell ref="A59:B59"/>
    <mergeCell ref="L5:M5"/>
    <mergeCell ref="D55:D56"/>
    <mergeCell ref="F5:G5"/>
    <mergeCell ref="B5:C5"/>
    <mergeCell ref="L55:L56"/>
    <mergeCell ref="F55:F56"/>
    <mergeCell ref="J5:K5"/>
    <mergeCell ref="J55:J56"/>
    <mergeCell ref="S19:S20"/>
    <mergeCell ref="T19:T20"/>
    <mergeCell ref="S13:S14"/>
    <mergeCell ref="T13:T14"/>
    <mergeCell ref="S15:S16"/>
    <mergeCell ref="T15:T16"/>
    <mergeCell ref="S17:S18"/>
    <mergeCell ref="T17:T18"/>
    <mergeCell ref="W17:W18"/>
    <mergeCell ref="T9:T10"/>
    <mergeCell ref="S11:S12"/>
    <mergeCell ref="T11:T12"/>
    <mergeCell ref="V13:V14"/>
    <mergeCell ref="U15:U16"/>
    <mergeCell ref="V15:V16"/>
    <mergeCell ref="X17:X18"/>
    <mergeCell ref="W19:W20"/>
    <mergeCell ref="X19:X20"/>
    <mergeCell ref="U13:U14"/>
    <mergeCell ref="U11:U12"/>
    <mergeCell ref="V11:V12"/>
    <mergeCell ref="X11:X12"/>
    <mergeCell ref="W13:W14"/>
    <mergeCell ref="X13:X14"/>
    <mergeCell ref="W15:W16"/>
    <mergeCell ref="X15:X16"/>
    <mergeCell ref="U17:U18"/>
    <mergeCell ref="V17:V18"/>
    <mergeCell ref="U19:U20"/>
    <mergeCell ref="V19:V20"/>
    <mergeCell ref="W11:W12"/>
    <mergeCell ref="S3:X3"/>
    <mergeCell ref="S5:T5"/>
    <mergeCell ref="S7:S8"/>
    <mergeCell ref="T7:T8"/>
    <mergeCell ref="S9:S10"/>
    <mergeCell ref="U5:V5"/>
    <mergeCell ref="U7:U8"/>
    <mergeCell ref="V7:V8"/>
    <mergeCell ref="U9:U10"/>
    <mergeCell ref="V9:V10"/>
    <mergeCell ref="W5:X5"/>
    <mergeCell ref="W7:W8"/>
    <mergeCell ref="X7:X8"/>
    <mergeCell ref="W9:W10"/>
    <mergeCell ref="X9:X10"/>
  </mergeCells>
  <phoneticPr fontId="9" type="noConversion"/>
  <conditionalFormatting sqref="E9 C9 C11 G9 G11 I9 I11 K9 K11 M9 M11">
    <cfRule type="cellIs" dxfId="63" priority="3" stopIfTrue="1" operator="lessThanOrEqual">
      <formula>0</formula>
    </cfRule>
  </conditionalFormatting>
  <conditionalFormatting sqref="E11">
    <cfRule type="cellIs" dxfId="62" priority="4" stopIfTrue="1" operator="lessThanOrEqual">
      <formula>0</formula>
    </cfRule>
  </conditionalFormatting>
  <conditionalFormatting sqref="K44:K45 E44:E45 G44:G45 C44:C45 I44:I45 M44:M45">
    <cfRule type="cellIs" dxfId="61" priority="5" stopIfTrue="1" operator="equal">
      <formula>"ND"</formula>
    </cfRule>
  </conditionalFormatting>
  <conditionalFormatting sqref="L16 J16 H16">
    <cfRule type="cellIs" dxfId="60" priority="1" stopIfTrue="1" operator="equal">
      <formula>0</formula>
    </cfRule>
  </conditionalFormatting>
  <dataValidations xWindow="612" yWindow="583" count="3">
    <dataValidation type="decimal" operator="lessThan" allowBlank="1" showInputMessage="1" showErrorMessage="1" error="Cancelar. Solo son válidos los valores negativos." prompt="Solo deben reflejarse valores negativos, puesto que se trata de la cancelación de una deuda pendiente." sqref="L59:L65 J59:J65 H59:H65 F59:F65">
      <formula1>0</formula1>
    </dataValidation>
    <dataValidation allowBlank="1" showInputMessage="1" sqref="B72:E72 B53 A68:A70 A51:A52 P3 S3"/>
    <dataValidation type="decimal" operator="greaterThanOrEqual" allowBlank="1" showInputMessage="1" error="Solo valores mayores o iguales a cero." sqref="L57 J57 H57 F57">
      <formula1>0</formula1>
    </dataValidation>
  </dataValidations>
  <printOptions horizontalCentered="1" verticalCentered="1"/>
  <pageMargins left="0.55000000000000004" right="0.43307086614173229" top="0.43307086614173229" bottom="0.59055118110236227" header="0" footer="0.31496062992125984"/>
  <pageSetup paperSize="9" scale="47" orientation="landscape" horizontalDpi="300" verticalDpi="300" r:id="rId1"/>
  <headerFooter alignWithMargins="0">
    <oddFooter>&amp;A</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pageSetUpPr fitToPage="1"/>
  </sheetPr>
  <dimension ref="A1:AF80"/>
  <sheetViews>
    <sheetView zoomScale="70" zoomScaleNormal="70" zoomScaleSheetLayoutView="50" workbookViewId="0">
      <selection activeCell="L10" sqref="L10"/>
    </sheetView>
  </sheetViews>
  <sheetFormatPr baseColWidth="10" defaultColWidth="11.1640625" defaultRowHeight="15.75"/>
  <cols>
    <col min="1" max="1" width="57.5" style="314" customWidth="1"/>
    <col min="2" max="2" width="2.33203125" style="314" hidden="1" customWidth="1"/>
    <col min="3" max="3" width="4.83203125" style="314" hidden="1" customWidth="1"/>
    <col min="4" max="4" width="26.33203125" style="314" customWidth="1"/>
    <col min="5" max="5" width="16.83203125" style="314" customWidth="1"/>
    <col min="6" max="6" width="17" style="314" hidden="1" customWidth="1"/>
    <col min="7" max="7" width="26.5" style="314" customWidth="1"/>
    <col min="8" max="9" width="16.83203125" style="314" customWidth="1"/>
    <col min="10" max="10" width="26.5" style="314" customWidth="1"/>
    <col min="11" max="12" width="16.83203125" style="314" customWidth="1"/>
    <col min="13" max="13" width="26.33203125" style="314" customWidth="1"/>
    <col min="14" max="14" width="17" style="314" customWidth="1"/>
    <col min="15" max="15" width="16.83203125" style="314" customWidth="1"/>
    <col min="16" max="16" width="26.33203125" style="314" customWidth="1"/>
    <col min="17" max="17" width="17" style="314" customWidth="1"/>
    <col min="18" max="18" width="16.83203125" style="314" customWidth="1"/>
    <col min="19" max="19" width="16.5" style="314" customWidth="1"/>
    <col min="20" max="20" width="11.1640625" style="314"/>
    <col min="21" max="21" width="12.1640625" style="314" customWidth="1"/>
    <col min="22" max="22" width="5.6640625" style="3061" customWidth="1"/>
    <col min="23" max="23" width="12.6640625" style="314" hidden="1" customWidth="1"/>
    <col min="24" max="24" width="26.33203125" style="314" hidden="1" customWidth="1"/>
    <col min="25" max="25" width="19.5" style="314" hidden="1" customWidth="1"/>
    <col min="26" max="26" width="3.1640625" style="314" hidden="1" customWidth="1"/>
    <col min="27" max="27" width="19.5" style="314" hidden="1" customWidth="1"/>
    <col min="28" max="28" width="12.6640625" style="314" hidden="1" customWidth="1"/>
    <col min="29" max="29" width="19.5" style="314" hidden="1" customWidth="1"/>
    <col min="30" max="30" width="12.33203125" style="314" hidden="1" customWidth="1"/>
    <col min="31" max="32" width="7.6640625" style="314" customWidth="1"/>
    <col min="33" max="16384" width="11.1640625" style="314"/>
  </cols>
  <sheetData>
    <row r="1" spans="1:30" ht="11.25" customHeight="1">
      <c r="A1" s="556" t="str">
        <f>IF('1.Datos Básicos. Product-Serv'!B5=0,"",'1.Datos Básicos. Product-Serv'!B5)</f>
        <v/>
      </c>
      <c r="B1" s="556"/>
      <c r="C1" s="556"/>
    </row>
    <row r="2" spans="1:30" ht="6.75" customHeight="1">
      <c r="A2" s="727"/>
      <c r="B2" s="727"/>
      <c r="C2" s="727"/>
      <c r="I2" s="727"/>
      <c r="J2" s="868"/>
      <c r="K2" s="869"/>
      <c r="L2" s="870"/>
      <c r="M2" s="871"/>
    </row>
    <row r="3" spans="1:30" ht="23.25" customHeight="1">
      <c r="A3" s="556" t="s">
        <v>111</v>
      </c>
      <c r="B3" s="556"/>
      <c r="C3" s="556"/>
      <c r="E3" s="869"/>
      <c r="I3" s="727"/>
    </row>
    <row r="4" spans="1:30" ht="12.75" customHeight="1">
      <c r="A4" s="556"/>
      <c r="B4" s="556"/>
      <c r="C4" s="556"/>
      <c r="E4" s="869"/>
      <c r="I4" s="727"/>
      <c r="P4" s="871"/>
    </row>
    <row r="5" spans="1:30" ht="20.25" customHeight="1">
      <c r="A5" s="345" t="s">
        <v>446</v>
      </c>
      <c r="B5" s="556"/>
      <c r="C5" s="556"/>
      <c r="E5" s="869"/>
      <c r="I5" s="727"/>
      <c r="P5" s="871"/>
      <c r="U5" s="992"/>
      <c r="V5" s="3044"/>
      <c r="W5" s="1982"/>
      <c r="X5" s="3971" t="s">
        <v>585</v>
      </c>
      <c r="Y5" s="3529"/>
      <c r="Z5" s="3529"/>
      <c r="AA5" s="3529"/>
      <c r="AB5" s="3529"/>
      <c r="AC5" s="3529"/>
      <c r="AD5" s="3529"/>
    </row>
    <row r="6" spans="1:30" ht="16.5" customHeight="1" thickBot="1">
      <c r="B6" s="871"/>
      <c r="C6" s="871"/>
      <c r="D6" s="871"/>
      <c r="E6" s="871"/>
      <c r="F6" s="871"/>
      <c r="G6" s="871"/>
      <c r="H6" s="871"/>
      <c r="I6" s="872"/>
      <c r="J6" s="871"/>
      <c r="K6" s="871"/>
      <c r="L6" s="872"/>
      <c r="M6" s="871"/>
      <c r="N6" s="871"/>
      <c r="O6" s="872"/>
      <c r="P6" s="871"/>
      <c r="Q6" s="871"/>
      <c r="R6" s="872"/>
      <c r="W6" s="871"/>
      <c r="X6" s="871"/>
      <c r="Z6" s="871"/>
      <c r="AA6" s="871"/>
      <c r="AB6" s="871"/>
    </row>
    <row r="7" spans="1:30" s="874" customFormat="1" ht="73.5" customHeight="1" thickTop="1" thickBot="1">
      <c r="A7" s="1952" t="s">
        <v>38</v>
      </c>
      <c r="B7" s="1953" t="str">
        <f>"Valor según Cta de PyG de Cierre del Ejerc. "&amp;Año_Com_Ejerc_0</f>
        <v>Valor según Cta de PyG de Cierre del Ejerc. -1</v>
      </c>
      <c r="C7" s="1954" t="s">
        <v>203</v>
      </c>
      <c r="D7" s="1955" t="str">
        <f>'(0) 4. Resumen Balances (5 Ej.)'!D5</f>
        <v>Cierre 1º Ejerc. 0</v>
      </c>
      <c r="E7" s="1954" t="s">
        <v>203</v>
      </c>
      <c r="F7" s="1956" t="s">
        <v>232</v>
      </c>
      <c r="G7" s="1955" t="str">
        <f>'(0) 4. Resumen Balances (5 Ej.)'!F5</f>
        <v>Cierre 2º Ejerc. 1</v>
      </c>
      <c r="H7" s="1954" t="s">
        <v>203</v>
      </c>
      <c r="I7" s="1956" t="s">
        <v>232</v>
      </c>
      <c r="J7" s="1955" t="str">
        <f>'(0) 4. Resumen Balances (5 Ej.)'!H5</f>
        <v>Cierre 3º Ejerc. 2</v>
      </c>
      <c r="K7" s="1954" t="s">
        <v>203</v>
      </c>
      <c r="L7" s="1956" t="s">
        <v>232</v>
      </c>
      <c r="M7" s="1955" t="str">
        <f>'(0) 4. Resumen Balances (5 Ej.)'!J5</f>
        <v>Cierre 4º Ejerc. 3</v>
      </c>
      <c r="N7" s="1954" t="s">
        <v>203</v>
      </c>
      <c r="O7" s="1956" t="s">
        <v>232</v>
      </c>
      <c r="P7" s="1955" t="str">
        <f>'(0) 4. Resumen Balances (5 Ej.)'!L5</f>
        <v>Cierre 5º Ejerc. 4</v>
      </c>
      <c r="Q7" s="1954" t="s">
        <v>203</v>
      </c>
      <c r="R7" s="1956" t="s">
        <v>232</v>
      </c>
      <c r="S7" s="873"/>
      <c r="T7" s="683"/>
      <c r="V7" s="3062"/>
      <c r="X7" s="3822" t="str">
        <f>"Cierre 3º Ejerc. "&amp;'1.Datos Básicos. Product-Serv'!F11</f>
        <v>Cierre 3º Ejerc. 2</v>
      </c>
      <c r="Y7" s="3822"/>
      <c r="AA7" s="4035" t="str">
        <f>"Cierre 4º Ejerc. "&amp;'1.Datos Básicos. Product-Serv'!G11</f>
        <v>Cierre 4º Ejerc. 3</v>
      </c>
      <c r="AB7" s="4035"/>
      <c r="AC7" s="4035" t="str">
        <f>"Cierre 5º Ejerc. "&amp;'1.Datos Básicos. Product-Serv'!H11</f>
        <v>Cierre 5º Ejerc. 4</v>
      </c>
      <c r="AD7" s="4035"/>
    </row>
    <row r="8" spans="1:30" s="271" customFormat="1" ht="17.25" thickBot="1">
      <c r="A8" s="2995" t="str">
        <f>'6. P y G (Ej 1º,2º)'!A10</f>
        <v>Ventas (Ingresos)</v>
      </c>
      <c r="B8" s="2996">
        <f>SUM(B9:B16)</f>
        <v>0</v>
      </c>
      <c r="C8" s="2997" t="str">
        <f>IF(B$8&lt;&gt;0,B8/B$8,"")</f>
        <v/>
      </c>
      <c r="D8" s="2998">
        <f>'6. P y G (Ej 1º,2º)'!O10</f>
        <v>0</v>
      </c>
      <c r="E8" s="2999" t="str">
        <f>IF(D$8&lt;&gt;0,D8/D$8,"")</f>
        <v/>
      </c>
      <c r="F8" s="3000" t="str">
        <f t="shared" ref="F8:F32" si="0">IF(B8=0,IF(Consolidación?="NO","",""),(D8-B8)/ABS(B8))</f>
        <v/>
      </c>
      <c r="G8" s="2998">
        <f>SUM(G9:G16)</f>
        <v>0</v>
      </c>
      <c r="H8" s="2999" t="str">
        <f t="shared" ref="H8:H47" si="1">IF(G$8&lt;&gt;0,G8/G$8,"")</f>
        <v/>
      </c>
      <c r="I8" s="3001">
        <f>IF($G$8=0,0,IF(D8=0,0,(G8-D8)/ABS(D8)))</f>
        <v>0</v>
      </c>
      <c r="J8" s="2998">
        <f>SUM(J9:J16)</f>
        <v>0</v>
      </c>
      <c r="K8" s="2999" t="str">
        <f>IF(J$8&lt;&gt;0,J8/J$8,"")</f>
        <v/>
      </c>
      <c r="L8" s="3001">
        <f>IF($J$8=0,0,IF(G8=0,0,(J8-G8)/ABS(G8)))</f>
        <v>0</v>
      </c>
      <c r="M8" s="2998">
        <f>SUM(M9:M16)</f>
        <v>0</v>
      </c>
      <c r="N8" s="2999" t="str">
        <f>IF(M$8&lt;&gt;0,M8/M$8,"")</f>
        <v/>
      </c>
      <c r="O8" s="3001">
        <f>IF($M$8=0,0,IF(J8=0,0,(M8-J8)/ABS(J8)))</f>
        <v>0</v>
      </c>
      <c r="P8" s="2998">
        <f>SUM(P9:P16)</f>
        <v>0</v>
      </c>
      <c r="Q8" s="920" t="str">
        <f>IF(P$8&lt;&gt;0,P8/P$8,"")</f>
        <v/>
      </c>
      <c r="R8" s="921">
        <f>IF($P$8=0,0,IF(M8=0,0,(P8-M8)/ABS(M8)))</f>
        <v>0</v>
      </c>
      <c r="S8" s="263"/>
      <c r="T8" s="794"/>
      <c r="V8" s="3063"/>
      <c r="X8" s="2989" t="s">
        <v>157</v>
      </c>
      <c r="Y8" s="2990" t="s">
        <v>37</v>
      </c>
      <c r="AA8" s="1988" t="s">
        <v>157</v>
      </c>
      <c r="AB8" s="1989" t="s">
        <v>37</v>
      </c>
      <c r="AC8" s="1988" t="s">
        <v>157</v>
      </c>
      <c r="AD8" s="1989" t="s">
        <v>37</v>
      </c>
    </row>
    <row r="9" spans="1:30" s="271" customFormat="1" ht="16.5">
      <c r="A9" s="922" t="str">
        <f>IF('1.Datos Básicos. Product-Serv'!B24="","",'1.Datos Básicos. Product-Serv'!B24)</f>
        <v/>
      </c>
      <c r="B9" s="923"/>
      <c r="C9" s="924"/>
      <c r="D9" s="925">
        <f>'2.Ventas y Cobros (Ej 1º,2º)'!P10</f>
        <v>0</v>
      </c>
      <c r="E9" s="926" t="str">
        <f t="shared" ref="E9:E16" si="2">IF(D9=0,"",(D9/$D$8))</f>
        <v/>
      </c>
      <c r="F9" s="927" t="str">
        <f t="shared" si="0"/>
        <v/>
      </c>
      <c r="G9" s="925">
        <f>'2.Ventas y Cobros (Ej 1º,2º)'!AI10</f>
        <v>0</v>
      </c>
      <c r="H9" s="945" t="str">
        <f t="shared" si="1"/>
        <v/>
      </c>
      <c r="I9" s="946" t="str">
        <f>IF($G$9=0,"",IF(D9=0,"NS",(G9-D9)/ABS(D9)))</f>
        <v/>
      </c>
      <c r="J9" s="928">
        <f t="shared" ref="J9:J16" si="3">G9*(1+L9)</f>
        <v>0</v>
      </c>
      <c r="K9" s="926" t="str">
        <f t="shared" ref="K9:K16" si="4">IF(J9=0,"",(J9/$J$8))</f>
        <v/>
      </c>
      <c r="L9" s="1957">
        <v>0</v>
      </c>
      <c r="M9" s="928">
        <f t="shared" ref="M9:M16" si="5">J9*(1+O9)</f>
        <v>0</v>
      </c>
      <c r="N9" s="926" t="str">
        <f t="shared" ref="N9:N16" si="6">IF(M9=0,"",(M9/$M$8))</f>
        <v/>
      </c>
      <c r="O9" s="1957">
        <v>0</v>
      </c>
      <c r="P9" s="928">
        <f t="shared" ref="P9:P16" si="7">M9*(1+R9)</f>
        <v>0</v>
      </c>
      <c r="Q9" s="926" t="str">
        <f t="shared" ref="Q9:Q16" si="8">IF(P9=0,"",(P9/$P$8))</f>
        <v/>
      </c>
      <c r="R9" s="1957">
        <v>0</v>
      </c>
      <c r="S9" s="263"/>
      <c r="T9" s="794"/>
      <c r="V9" s="3063"/>
      <c r="X9" s="3803">
        <f>'(0) 5. Resumen P y G (5 Ej.)'!J8</f>
        <v>0</v>
      </c>
      <c r="Y9" s="3805" t="str">
        <f>'(0) 5. Resumen P y G (5 Ej.)'!K8</f>
        <v/>
      </c>
      <c r="AA9" s="4021">
        <f>M8</f>
        <v>0</v>
      </c>
      <c r="AB9" s="4016" t="str">
        <f>N8</f>
        <v/>
      </c>
      <c r="AC9" s="4021">
        <f>P8</f>
        <v>0</v>
      </c>
      <c r="AD9" s="4016" t="str">
        <f>Q8</f>
        <v/>
      </c>
    </row>
    <row r="10" spans="1:30" s="271" customFormat="1" ht="17.25" thickBot="1">
      <c r="A10" s="922" t="str">
        <f>IF('1.Datos Básicos. Product-Serv'!B25="","",'1.Datos Básicos. Product-Serv'!B25)</f>
        <v/>
      </c>
      <c r="B10" s="929"/>
      <c r="C10" s="924"/>
      <c r="D10" s="925">
        <f>'2.Ventas y Cobros (Ej 1º,2º)'!P12</f>
        <v>0</v>
      </c>
      <c r="E10" s="926" t="str">
        <f t="shared" si="2"/>
        <v/>
      </c>
      <c r="F10" s="927" t="str">
        <f t="shared" si="0"/>
        <v/>
      </c>
      <c r="G10" s="925">
        <f>'2.Ventas y Cobros (Ej 1º,2º)'!AI12</f>
        <v>0</v>
      </c>
      <c r="H10" s="945" t="str">
        <f t="shared" si="1"/>
        <v/>
      </c>
      <c r="I10" s="946" t="str">
        <f>IF($G$10=0,"",IF(D10=0,"NS",(G10-D10)/ABS(D10)))</f>
        <v/>
      </c>
      <c r="J10" s="928">
        <f t="shared" si="3"/>
        <v>0</v>
      </c>
      <c r="K10" s="926" t="str">
        <f t="shared" si="4"/>
        <v/>
      </c>
      <c r="L10" s="930">
        <f>L9</f>
        <v>0</v>
      </c>
      <c r="M10" s="928">
        <f t="shared" si="5"/>
        <v>0</v>
      </c>
      <c r="N10" s="926" t="str">
        <f t="shared" si="6"/>
        <v/>
      </c>
      <c r="O10" s="930">
        <f>O9</f>
        <v>0</v>
      </c>
      <c r="P10" s="928">
        <f t="shared" si="7"/>
        <v>0</v>
      </c>
      <c r="Q10" s="926" t="str">
        <f t="shared" si="8"/>
        <v/>
      </c>
      <c r="R10" s="930">
        <f>R9</f>
        <v>0</v>
      </c>
      <c r="S10" s="263"/>
      <c r="T10" s="794"/>
      <c r="V10" s="3063"/>
      <c r="X10" s="3820"/>
      <c r="Y10" s="3821"/>
      <c r="AA10" s="4022"/>
      <c r="AB10" s="4017"/>
      <c r="AC10" s="4022"/>
      <c r="AD10" s="4017"/>
    </row>
    <row r="11" spans="1:30" s="271" customFormat="1" ht="16.5">
      <c r="A11" s="922" t="str">
        <f>IF('1.Datos Básicos. Product-Serv'!B26="","",'1.Datos Básicos. Product-Serv'!B26)</f>
        <v/>
      </c>
      <c r="B11" s="931"/>
      <c r="C11" s="924"/>
      <c r="D11" s="925">
        <f>'2.Ventas y Cobros (Ej 1º,2º)'!P14</f>
        <v>0</v>
      </c>
      <c r="E11" s="926" t="str">
        <f t="shared" si="2"/>
        <v/>
      </c>
      <c r="F11" s="927" t="str">
        <f t="shared" si="0"/>
        <v/>
      </c>
      <c r="G11" s="925">
        <f>'2.Ventas y Cobros (Ej 1º,2º)'!AI14</f>
        <v>0</v>
      </c>
      <c r="H11" s="945" t="str">
        <f t="shared" si="1"/>
        <v/>
      </c>
      <c r="I11" s="946" t="str">
        <f>IF($G$11=0,"",IF(D11=0,"NS",(G11-D11)/ABS(D11)))</f>
        <v/>
      </c>
      <c r="J11" s="928">
        <f t="shared" si="3"/>
        <v>0</v>
      </c>
      <c r="K11" s="926" t="str">
        <f t="shared" si="4"/>
        <v/>
      </c>
      <c r="L11" s="930">
        <f>L9</f>
        <v>0</v>
      </c>
      <c r="M11" s="928">
        <f t="shared" si="5"/>
        <v>0</v>
      </c>
      <c r="N11" s="926" t="str">
        <f t="shared" si="6"/>
        <v/>
      </c>
      <c r="O11" s="930">
        <f>O9</f>
        <v>0</v>
      </c>
      <c r="P11" s="928">
        <f t="shared" si="7"/>
        <v>0</v>
      </c>
      <c r="Q11" s="926" t="str">
        <f t="shared" si="8"/>
        <v/>
      </c>
      <c r="R11" s="930">
        <f>R9</f>
        <v>0</v>
      </c>
      <c r="S11" s="263"/>
      <c r="T11" s="794"/>
      <c r="V11" s="3063"/>
      <c r="X11" s="3792"/>
      <c r="Y11" s="4096">
        <f>IF(X9=0,0,X11/X9)</f>
        <v>0</v>
      </c>
      <c r="AA11" s="4036"/>
      <c r="AB11" s="4018">
        <f>IF(AA9=0,0,AA11/AA9)</f>
        <v>0</v>
      </c>
      <c r="AC11" s="4036"/>
      <c r="AD11" s="4018">
        <f>IF(AC9=0,0,AC11/AC9)</f>
        <v>0</v>
      </c>
    </row>
    <row r="12" spans="1:30" s="271" customFormat="1" ht="16.5">
      <c r="A12" s="922" t="str">
        <f>IF('1.Datos Básicos. Product-Serv'!B27="","",'1.Datos Básicos. Product-Serv'!B27)</f>
        <v/>
      </c>
      <c r="B12" s="940"/>
      <c r="C12" s="924"/>
      <c r="D12" s="925">
        <f>'2.Ventas y Cobros (Ej 1º,2º)'!P16</f>
        <v>0</v>
      </c>
      <c r="E12" s="926" t="str">
        <f t="shared" si="2"/>
        <v/>
      </c>
      <c r="F12" s="927" t="str">
        <f t="shared" si="0"/>
        <v/>
      </c>
      <c r="G12" s="925">
        <f>'2.Ventas y Cobros (Ej 1º,2º)'!AI16</f>
        <v>0</v>
      </c>
      <c r="H12" s="945" t="str">
        <f t="shared" si="1"/>
        <v/>
      </c>
      <c r="I12" s="946" t="str">
        <f>IF($G$12=0,"",IF(D12=0,"NS",(G12-D12)/ABS(D12)))</f>
        <v/>
      </c>
      <c r="J12" s="928">
        <f t="shared" si="3"/>
        <v>0</v>
      </c>
      <c r="K12" s="926" t="str">
        <f t="shared" si="4"/>
        <v/>
      </c>
      <c r="L12" s="930">
        <f>L9</f>
        <v>0</v>
      </c>
      <c r="M12" s="928">
        <f t="shared" si="5"/>
        <v>0</v>
      </c>
      <c r="N12" s="926" t="str">
        <f t="shared" si="6"/>
        <v/>
      </c>
      <c r="O12" s="930">
        <f>O9</f>
        <v>0</v>
      </c>
      <c r="P12" s="928">
        <f t="shared" si="7"/>
        <v>0</v>
      </c>
      <c r="Q12" s="926" t="str">
        <f t="shared" si="8"/>
        <v/>
      </c>
      <c r="R12" s="930">
        <f>R9</f>
        <v>0</v>
      </c>
      <c r="S12" s="263"/>
      <c r="T12" s="794"/>
      <c r="V12" s="3063"/>
      <c r="X12" s="3787"/>
      <c r="Y12" s="4097"/>
      <c r="AA12" s="4029"/>
      <c r="AB12" s="4019"/>
      <c r="AC12" s="4029"/>
      <c r="AD12" s="4019"/>
    </row>
    <row r="13" spans="1:30" s="271" customFormat="1" ht="16.5">
      <c r="A13" s="932" t="str">
        <f>IF('1.Datos Básicos. Product-Serv'!B28="","",'1.Datos Básicos. Product-Serv'!B28)</f>
        <v/>
      </c>
      <c r="B13" s="940"/>
      <c r="C13" s="934"/>
      <c r="D13" s="935">
        <f>'2.Ventas y Cobros (Ej 1º,2º)'!P18</f>
        <v>0</v>
      </c>
      <c r="E13" s="936" t="str">
        <f t="shared" si="2"/>
        <v/>
      </c>
      <c r="F13" s="937" t="str">
        <f t="shared" si="0"/>
        <v/>
      </c>
      <c r="G13" s="935">
        <f>'2.Ventas y Cobros (Ej 1º,2º)'!AI18</f>
        <v>0</v>
      </c>
      <c r="H13" s="1134" t="str">
        <f t="shared" si="1"/>
        <v/>
      </c>
      <c r="I13" s="1135" t="str">
        <f>IF($G$13=0,"",IF(D13=0,"NS",(G13-D13)/ABS(D13)))</f>
        <v/>
      </c>
      <c r="J13" s="938">
        <f t="shared" si="3"/>
        <v>0</v>
      </c>
      <c r="K13" s="936" t="str">
        <f t="shared" si="4"/>
        <v/>
      </c>
      <c r="L13" s="939">
        <f>L9</f>
        <v>0</v>
      </c>
      <c r="M13" s="938">
        <f t="shared" si="5"/>
        <v>0</v>
      </c>
      <c r="N13" s="936" t="str">
        <f t="shared" si="6"/>
        <v/>
      </c>
      <c r="O13" s="939">
        <f>O9</f>
        <v>0</v>
      </c>
      <c r="P13" s="938">
        <f t="shared" si="7"/>
        <v>0</v>
      </c>
      <c r="Q13" s="936" t="str">
        <f t="shared" si="8"/>
        <v/>
      </c>
      <c r="R13" s="939">
        <f>R9</f>
        <v>0</v>
      </c>
      <c r="S13" s="263"/>
      <c r="T13" s="794"/>
      <c r="V13" s="3063"/>
      <c r="X13" s="3784"/>
      <c r="Y13" s="4098">
        <f>IF(X9=0,0,X13/X9)</f>
        <v>0</v>
      </c>
      <c r="AA13" s="4028"/>
      <c r="AB13" s="4030">
        <f>IF(AA9=0,0,AA13/AA9)</f>
        <v>0</v>
      </c>
      <c r="AC13" s="4028"/>
      <c r="AD13" s="4030">
        <f>IF(AC9=0,0,AC13/AC9)</f>
        <v>0</v>
      </c>
    </row>
    <row r="14" spans="1:30" s="271" customFormat="1" ht="17.25" thickBot="1">
      <c r="A14" s="922" t="str">
        <f>IF('1.Datos Básicos. Product-Serv'!B29="","",'1.Datos Básicos. Product-Serv'!B29)</f>
        <v/>
      </c>
      <c r="B14" s="933"/>
      <c r="C14" s="924"/>
      <c r="D14" s="925">
        <f>'2.Ventas y Cobros (Ej 1º,2º)'!P20</f>
        <v>0</v>
      </c>
      <c r="E14" s="926" t="str">
        <f t="shared" si="2"/>
        <v/>
      </c>
      <c r="F14" s="927" t="str">
        <f t="shared" si="0"/>
        <v/>
      </c>
      <c r="G14" s="925">
        <f>'2.Ventas y Cobros (Ej 1º,2º)'!AI20</f>
        <v>0</v>
      </c>
      <c r="H14" s="945" t="str">
        <f t="shared" si="1"/>
        <v/>
      </c>
      <c r="I14" s="946" t="str">
        <f>IF($G$14=0,"",IF(D14=0,"NS",(G14-D14)/ABS(D14)))</f>
        <v/>
      </c>
      <c r="J14" s="928">
        <f t="shared" si="3"/>
        <v>0</v>
      </c>
      <c r="K14" s="926" t="str">
        <f t="shared" si="4"/>
        <v/>
      </c>
      <c r="L14" s="930">
        <f>L9</f>
        <v>0</v>
      </c>
      <c r="M14" s="928">
        <f t="shared" si="5"/>
        <v>0</v>
      </c>
      <c r="N14" s="926" t="str">
        <f t="shared" si="6"/>
        <v/>
      </c>
      <c r="O14" s="930">
        <f>O9</f>
        <v>0</v>
      </c>
      <c r="P14" s="928">
        <f t="shared" si="7"/>
        <v>0</v>
      </c>
      <c r="Q14" s="926" t="str">
        <f t="shared" si="8"/>
        <v/>
      </c>
      <c r="R14" s="930">
        <f>R9</f>
        <v>0</v>
      </c>
      <c r="S14" s="263"/>
      <c r="T14" s="794"/>
      <c r="V14" s="3063"/>
      <c r="X14" s="3787"/>
      <c r="Y14" s="4097"/>
      <c r="AA14" s="4029"/>
      <c r="AB14" s="4019"/>
      <c r="AC14" s="4029"/>
      <c r="AD14" s="4019"/>
    </row>
    <row r="15" spans="1:30" s="271" customFormat="1" ht="16.5">
      <c r="A15" s="922" t="str">
        <f>IF('1.Datos Básicos. Product-Serv'!B30="","",'1.Datos Básicos. Product-Serv'!B30)</f>
        <v/>
      </c>
      <c r="B15" s="929"/>
      <c r="C15" s="924"/>
      <c r="D15" s="925">
        <f>'2.Ventas y Cobros (Ej 1º,2º)'!P22</f>
        <v>0</v>
      </c>
      <c r="E15" s="926" t="str">
        <f t="shared" si="2"/>
        <v/>
      </c>
      <c r="F15" s="927" t="str">
        <f t="shared" si="0"/>
        <v/>
      </c>
      <c r="G15" s="925">
        <f>'2.Ventas y Cobros (Ej 1º,2º)'!AI22</f>
        <v>0</v>
      </c>
      <c r="H15" s="945" t="str">
        <f t="shared" si="1"/>
        <v/>
      </c>
      <c r="I15" s="946" t="str">
        <f>IF($G$15=0,"",IF(D15=0,"NS",(G15-D15)/ABS(D15)))</f>
        <v/>
      </c>
      <c r="J15" s="928">
        <f t="shared" si="3"/>
        <v>0</v>
      </c>
      <c r="K15" s="926" t="str">
        <f t="shared" si="4"/>
        <v/>
      </c>
      <c r="L15" s="930">
        <f>L9</f>
        <v>0</v>
      </c>
      <c r="M15" s="928">
        <f t="shared" si="5"/>
        <v>0</v>
      </c>
      <c r="N15" s="926" t="str">
        <f t="shared" si="6"/>
        <v/>
      </c>
      <c r="O15" s="930">
        <f>O9</f>
        <v>0</v>
      </c>
      <c r="P15" s="928">
        <f t="shared" si="7"/>
        <v>0</v>
      </c>
      <c r="Q15" s="926" t="str">
        <f t="shared" si="8"/>
        <v/>
      </c>
      <c r="R15" s="930">
        <f>R9</f>
        <v>0</v>
      </c>
      <c r="S15" s="263"/>
      <c r="T15" s="794"/>
      <c r="V15" s="3063"/>
      <c r="X15" s="3826">
        <f>'(0) 5. Resumen P y G (5 Ej.)'!J17</f>
        <v>0</v>
      </c>
      <c r="Y15" s="3828">
        <f>IF(X9=0,0,X15/X9)</f>
        <v>0</v>
      </c>
      <c r="AA15" s="4031">
        <f>M17</f>
        <v>0</v>
      </c>
      <c r="AB15" s="4023">
        <f>IF(AA9=0,0,AA15/AA9)</f>
        <v>0</v>
      </c>
      <c r="AC15" s="4031">
        <f>P17</f>
        <v>0</v>
      </c>
      <c r="AD15" s="4023">
        <f>IF(AC9=0,0,AC15/AC9)</f>
        <v>0</v>
      </c>
    </row>
    <row r="16" spans="1:30" s="271" customFormat="1" ht="17.25" thickBot="1">
      <c r="A16" s="922" t="str">
        <f>IF('1.Datos Básicos. Product-Serv'!B31="","",'1.Datos Básicos. Product-Serv'!B31)</f>
        <v/>
      </c>
      <c r="B16" s="931"/>
      <c r="C16" s="924"/>
      <c r="D16" s="928">
        <f>'2.Ventas y Cobros (Ej 1º,2º)'!P24</f>
        <v>0</v>
      </c>
      <c r="E16" s="926" t="str">
        <f t="shared" si="2"/>
        <v/>
      </c>
      <c r="F16" s="927" t="str">
        <f t="shared" si="0"/>
        <v/>
      </c>
      <c r="G16" s="928">
        <f>'2.Ventas y Cobros (Ej 1º,2º)'!AI24</f>
        <v>0</v>
      </c>
      <c r="H16" s="945" t="str">
        <f t="shared" si="1"/>
        <v/>
      </c>
      <c r="I16" s="946" t="str">
        <f>IF($G$16=0,"",IF(D16=0,"NS",(G16-D16)/ABS(D16)))</f>
        <v/>
      </c>
      <c r="J16" s="928">
        <f t="shared" si="3"/>
        <v>0</v>
      </c>
      <c r="K16" s="926" t="str">
        <f t="shared" si="4"/>
        <v/>
      </c>
      <c r="L16" s="930">
        <f>L9</f>
        <v>0</v>
      </c>
      <c r="M16" s="928">
        <f t="shared" si="5"/>
        <v>0</v>
      </c>
      <c r="N16" s="926" t="str">
        <f t="shared" si="6"/>
        <v/>
      </c>
      <c r="O16" s="930">
        <f>O9</f>
        <v>0</v>
      </c>
      <c r="P16" s="928">
        <f t="shared" si="7"/>
        <v>0</v>
      </c>
      <c r="Q16" s="926" t="str">
        <f t="shared" si="8"/>
        <v/>
      </c>
      <c r="R16" s="930">
        <f>R9</f>
        <v>0</v>
      </c>
      <c r="S16" s="263"/>
      <c r="T16" s="794"/>
      <c r="V16" s="3063"/>
      <c r="X16" s="3827"/>
      <c r="Y16" s="3829"/>
      <c r="AA16" s="4032"/>
      <c r="AB16" s="4024"/>
      <c r="AC16" s="4032"/>
      <c r="AD16" s="4024"/>
    </row>
    <row r="17" spans="1:30" ht="16.5" customHeight="1">
      <c r="A17" s="3002" t="str">
        <f>'6. P y G (Ej 1º,2º)'!A12</f>
        <v>Coste de Ventas (Costes Variables)</v>
      </c>
      <c r="B17" s="2996"/>
      <c r="C17" s="2997" t="str">
        <f t="shared" ref="C17:C33" si="9">IF(B$8&lt;&gt;0,B17/B$8,"")</f>
        <v/>
      </c>
      <c r="D17" s="2998">
        <f>'6. P y G (Ej 1º,2º)'!O12</f>
        <v>0</v>
      </c>
      <c r="E17" s="2999" t="str">
        <f t="shared" ref="E17:E44" si="10">IF(D$8&lt;&gt;0,D17/D$8,"")</f>
        <v/>
      </c>
      <c r="F17" s="3000" t="str">
        <f t="shared" si="0"/>
        <v/>
      </c>
      <c r="G17" s="2998">
        <f>'6. P y G (Ej 1º,2º)'!AF12</f>
        <v>0</v>
      </c>
      <c r="H17" s="2999" t="str">
        <f t="shared" si="1"/>
        <v/>
      </c>
      <c r="I17" s="3003" t="str">
        <f>IF($G$17=0,"",IF(D17=0,"NS",(G17-D17)/ABS(D17)))</f>
        <v/>
      </c>
      <c r="J17" s="2998">
        <f>IF(J8=0,0,(G17*(1+L17)))</f>
        <v>0</v>
      </c>
      <c r="K17" s="2999" t="str">
        <f t="shared" ref="K17:K47" si="11">IF(J$8&lt;&gt;0,J17/J$8,"")</f>
        <v/>
      </c>
      <c r="L17" s="3003">
        <f>L8</f>
        <v>0</v>
      </c>
      <c r="M17" s="2998">
        <f>IF(M8=0,0,(J17*(1+O17)))</f>
        <v>0</v>
      </c>
      <c r="N17" s="2999" t="str">
        <f t="shared" ref="N17:N47" si="12">IF(M$8&lt;&gt;0,M17/M$8,"")</f>
        <v/>
      </c>
      <c r="O17" s="3003">
        <f>O8</f>
        <v>0</v>
      </c>
      <c r="P17" s="2998">
        <f>IF(P8=0,0,(M17*(1+R17)))</f>
        <v>0</v>
      </c>
      <c r="Q17" s="920" t="str">
        <f t="shared" ref="Q17:Q47" si="13">IF(P$8&lt;&gt;0,P17/P$8,"")</f>
        <v/>
      </c>
      <c r="R17" s="941">
        <f>R8</f>
        <v>0</v>
      </c>
      <c r="S17" s="729"/>
      <c r="T17" s="799"/>
      <c r="X17" s="3803">
        <f>X9-X15</f>
        <v>0</v>
      </c>
      <c r="Y17" s="3824">
        <f>IF(X9=0,0,X17/X9)</f>
        <v>0</v>
      </c>
      <c r="AA17" s="4021">
        <f>AA9-AA15</f>
        <v>0</v>
      </c>
      <c r="AB17" s="4026">
        <f>IF(AA9=0,0,AA17/AA9)</f>
        <v>0</v>
      </c>
      <c r="AC17" s="4021">
        <f>AC9-AC15</f>
        <v>0</v>
      </c>
      <c r="AD17" s="4026">
        <f>IF(AC9=0,0,AC17/AC9)</f>
        <v>0</v>
      </c>
    </row>
    <row r="18" spans="1:30" s="271" customFormat="1" ht="16.5" customHeight="1">
      <c r="A18" s="3002" t="str">
        <f>'6. P y G (Ej 1º,2º)'!A13</f>
        <v>Margen Bruto s/Ventas</v>
      </c>
      <c r="B18" s="2998">
        <f>B8-B17</f>
        <v>0</v>
      </c>
      <c r="C18" s="2997" t="str">
        <f t="shared" si="9"/>
        <v/>
      </c>
      <c r="D18" s="2998">
        <f>'6. P y G (Ej 1º,2º)'!O13</f>
        <v>0</v>
      </c>
      <c r="E18" s="2999" t="str">
        <f t="shared" si="10"/>
        <v/>
      </c>
      <c r="F18" s="3000" t="str">
        <f t="shared" si="0"/>
        <v/>
      </c>
      <c r="G18" s="2998">
        <f>IF((G8)=0,0,(G8-G17))</f>
        <v>0</v>
      </c>
      <c r="H18" s="2999" t="str">
        <f t="shared" si="1"/>
        <v/>
      </c>
      <c r="I18" s="3003" t="str">
        <f>IF($G$18=0,"",IF(D18=0,"NS",(G18-D18)/ABS(D18)))</f>
        <v/>
      </c>
      <c r="J18" s="2998">
        <f>J8-J17</f>
        <v>0</v>
      </c>
      <c r="K18" s="2999" t="str">
        <f t="shared" si="11"/>
        <v/>
      </c>
      <c r="L18" s="3003" t="str">
        <f>IF($J$18=0,"",IF(G18=0,"NS",(J18-G18)/ABS(G18)))</f>
        <v/>
      </c>
      <c r="M18" s="2998">
        <f>M8-M17</f>
        <v>0</v>
      </c>
      <c r="N18" s="2999" t="str">
        <f t="shared" si="12"/>
        <v/>
      </c>
      <c r="O18" s="3003" t="str">
        <f>IF($M$18=0,"",IF(J18=0,"NS",(M18-J18)/ABS(J18)))</f>
        <v/>
      </c>
      <c r="P18" s="2998">
        <f>P8-P17</f>
        <v>0</v>
      </c>
      <c r="Q18" s="920" t="str">
        <f t="shared" si="13"/>
        <v/>
      </c>
      <c r="R18" s="941" t="str">
        <f>IF($P$18=0,"",IF(M18=0,"NS",(P18-M18)/ABS(M18)))</f>
        <v/>
      </c>
      <c r="S18" s="263"/>
      <c r="T18" s="794"/>
      <c r="V18" s="3063"/>
      <c r="X18" s="3823"/>
      <c r="Y18" s="3825"/>
      <c r="AA18" s="4025"/>
      <c r="AB18" s="4027"/>
      <c r="AC18" s="4025"/>
      <c r="AD18" s="4027"/>
    </row>
    <row r="19" spans="1:30" ht="16.5" customHeight="1">
      <c r="A19" s="942" t="s">
        <v>278</v>
      </c>
      <c r="B19" s="929"/>
      <c r="C19" s="943" t="str">
        <f t="shared" si="9"/>
        <v/>
      </c>
      <c r="D19" s="925">
        <f>'6. P y G (Ej 1º,2º)'!O14+'6. P y G (Ej 1º,2º)'!O15</f>
        <v>0</v>
      </c>
      <c r="E19" s="944" t="str">
        <f t="shared" si="10"/>
        <v/>
      </c>
      <c r="F19" s="927" t="str">
        <f t="shared" si="0"/>
        <v/>
      </c>
      <c r="G19" s="925">
        <f>'6. P y G (Ej 1º,2º)'!AF14+'6. P y G (Ej 1º,2º)'!AF15</f>
        <v>0</v>
      </c>
      <c r="H19" s="945" t="str">
        <f t="shared" si="1"/>
        <v/>
      </c>
      <c r="I19" s="946" t="str">
        <f>IF($G$19=0,"",IF(D19=0,"NS",(G19-D19)/ABS(D19)))</f>
        <v/>
      </c>
      <c r="J19" s="928">
        <f>'5. Costes RRHH (Ej 1º,2º)'!BI24+'5. Costes RRHH (Ej 1º,2º)'!BM24</f>
        <v>0</v>
      </c>
      <c r="K19" s="945" t="str">
        <f t="shared" si="11"/>
        <v/>
      </c>
      <c r="L19" s="946" t="str">
        <f>IF($J$19=0,"",IF(G19=0,"NS",(J19-G19)/ABS(G19)))</f>
        <v/>
      </c>
      <c r="M19" s="928">
        <f>'5. Costes RRHH (Ej 1º,2º)'!BQ24+'5. Costes RRHH (Ej 1º,2º)'!BU24</f>
        <v>0</v>
      </c>
      <c r="N19" s="945" t="str">
        <f t="shared" si="12"/>
        <v/>
      </c>
      <c r="O19" s="946" t="str">
        <f>IF($M$19=0,"",IF(J19=0,"NS",(M19-J19)/ABS(J19)))</f>
        <v/>
      </c>
      <c r="P19" s="928">
        <f>'5. Costes RRHH (Ej 1º,2º)'!BY24+'5. Costes RRHH (Ej 1º,2º)'!CC24</f>
        <v>0</v>
      </c>
      <c r="Q19" s="945" t="str">
        <f t="shared" si="13"/>
        <v/>
      </c>
      <c r="R19" s="946" t="str">
        <f>IF($P$19=0,"",IF(M19=0,"NS",(P19-M19)/ABS(M19)))</f>
        <v/>
      </c>
      <c r="S19" s="729"/>
      <c r="T19" s="825"/>
      <c r="X19" s="3784">
        <f>('(0) 5. Resumen P y G (5 Ej.)'!J19+'(0) 5. Resumen P y G (5 Ej.)'!J20)</f>
        <v>0</v>
      </c>
      <c r="Y19" s="3791">
        <f>IF(X9=0,0,X19/X9)</f>
        <v>0</v>
      </c>
      <c r="AA19" s="4028">
        <f>(M19+M20)</f>
        <v>0</v>
      </c>
      <c r="AB19" s="4014">
        <f>IF(AA9=0,0,AA19/AA9)</f>
        <v>0</v>
      </c>
      <c r="AC19" s="4028">
        <f>(P19+P20)</f>
        <v>0</v>
      </c>
      <c r="AD19" s="4014">
        <f>IF(AC9=0,0,AC19/AC9)</f>
        <v>0</v>
      </c>
    </row>
    <row r="20" spans="1:30" ht="16.5" customHeight="1">
      <c r="A20" s="922" t="str">
        <f>'6. P y G (Ej 1º,2º)'!A16</f>
        <v>Cargas Sociales (RETA y Seg Soc a Cargo Emp)</v>
      </c>
      <c r="B20" s="931"/>
      <c r="C20" s="943" t="str">
        <f t="shared" si="9"/>
        <v/>
      </c>
      <c r="D20" s="925">
        <f>'6. P y G (Ej 1º,2º)'!O16</f>
        <v>0</v>
      </c>
      <c r="E20" s="944" t="str">
        <f t="shared" si="10"/>
        <v/>
      </c>
      <c r="F20" s="927" t="str">
        <f t="shared" si="0"/>
        <v/>
      </c>
      <c r="G20" s="925">
        <f>'6. P y G (Ej 1º,2º)'!AF16</f>
        <v>0</v>
      </c>
      <c r="H20" s="945" t="str">
        <f t="shared" si="1"/>
        <v/>
      </c>
      <c r="I20" s="946" t="str">
        <f>IF($G$20=0,"",IF(D20=0,"NS",(G20-D20)/ABS(D20)))</f>
        <v/>
      </c>
      <c r="J20" s="928">
        <f>'5. Costes RRHH (Ej 1º,2º)'!BL24</f>
        <v>0</v>
      </c>
      <c r="K20" s="945" t="str">
        <f t="shared" si="11"/>
        <v/>
      </c>
      <c r="L20" s="946" t="str">
        <f>IF($J$20=0,"",IF(G20=0,"NS",(J20-G20)/ABS(G20)))</f>
        <v/>
      </c>
      <c r="M20" s="928">
        <f>'5. Costes RRHH (Ej 1º,2º)'!BT24</f>
        <v>0</v>
      </c>
      <c r="N20" s="945" t="str">
        <f t="shared" si="12"/>
        <v/>
      </c>
      <c r="O20" s="946" t="str">
        <f>IF($M$20=0,"",IF(J20=0,"NS",(M20-J20)/ABS(J20)))</f>
        <v/>
      </c>
      <c r="P20" s="928">
        <f>'5. Costes RRHH (Ej 1º,2º)'!CB24</f>
        <v>0</v>
      </c>
      <c r="Q20" s="945" t="str">
        <f t="shared" si="13"/>
        <v/>
      </c>
      <c r="R20" s="946" t="str">
        <f>IF($P$20=0,"",IF(M20=0,"NS",(P20-M20)/ABS(M20)))</f>
        <v/>
      </c>
      <c r="S20" s="729"/>
      <c r="T20" s="825"/>
      <c r="X20" s="3787"/>
      <c r="Y20" s="3789"/>
      <c r="AA20" s="4029"/>
      <c r="AB20" s="4015"/>
      <c r="AC20" s="4029"/>
      <c r="AD20" s="4015"/>
    </row>
    <row r="21" spans="1:30" ht="16.5" customHeight="1">
      <c r="A21" s="922" t="str">
        <f>'6. P y G (Ej 1º,2º)'!A17</f>
        <v xml:space="preserve">Tributos y Tasas  </v>
      </c>
      <c r="B21" s="931"/>
      <c r="C21" s="943" t="str">
        <f t="shared" si="9"/>
        <v/>
      </c>
      <c r="D21" s="925">
        <f>'6. P y G (Ej 1º,2º)'!O17</f>
        <v>0</v>
      </c>
      <c r="E21" s="944" t="str">
        <f t="shared" si="10"/>
        <v/>
      </c>
      <c r="F21" s="927" t="str">
        <f t="shared" si="0"/>
        <v/>
      </c>
      <c r="G21" s="925">
        <f>'6. P y G (Ej 1º,2º)'!AF17</f>
        <v>0</v>
      </c>
      <c r="H21" s="945" t="str">
        <f t="shared" si="1"/>
        <v/>
      </c>
      <c r="I21" s="946" t="str">
        <f>IF($G$21=0,"",IF(D21=0,"NS",(G21-D21)/ABS(D21)))</f>
        <v/>
      </c>
      <c r="J21" s="928">
        <f t="shared" ref="J21:J32" si="14">G21*(1+L21)</f>
        <v>0</v>
      </c>
      <c r="K21" s="944" t="str">
        <f t="shared" si="11"/>
        <v/>
      </c>
      <c r="L21" s="1957">
        <v>0.03</v>
      </c>
      <c r="M21" s="928">
        <f t="shared" ref="M21:M32" si="15">J21*(1+O21)</f>
        <v>0</v>
      </c>
      <c r="N21" s="944" t="str">
        <f t="shared" si="12"/>
        <v/>
      </c>
      <c r="O21" s="1957">
        <v>0.03</v>
      </c>
      <c r="P21" s="928">
        <f t="shared" ref="P21:P32" si="16">M21*(1+R21)</f>
        <v>0</v>
      </c>
      <c r="Q21" s="944" t="str">
        <f t="shared" si="13"/>
        <v/>
      </c>
      <c r="R21" s="1957">
        <v>0.03</v>
      </c>
      <c r="S21" s="729"/>
      <c r="T21" s="799"/>
      <c r="X21" s="3784">
        <f>SUM('(0) 5. Resumen P y G (5 Ej.)'!J21:J34)</f>
        <v>0</v>
      </c>
      <c r="Y21" s="3791">
        <f>IF(X9=0,0,X21/X9)</f>
        <v>0</v>
      </c>
      <c r="AA21" s="4028">
        <f>SUM(M21:M34)</f>
        <v>0</v>
      </c>
      <c r="AB21" s="4014">
        <f>IF(AA9=0,0,AA21/AA9)</f>
        <v>0</v>
      </c>
      <c r="AC21" s="4028">
        <f>SUM(P21:P34)</f>
        <v>0</v>
      </c>
      <c r="AD21" s="4014">
        <f>IF(AC9=0,0,AC21/AC9)</f>
        <v>0</v>
      </c>
    </row>
    <row r="22" spans="1:30" ht="16.5" customHeight="1" thickBot="1">
      <c r="A22" s="922" t="str">
        <f>'6. P y G (Ej 1º,2º)'!A18</f>
        <v xml:space="preserve">Suministros (Luz, Agua, Teléfono, Gas) </v>
      </c>
      <c r="B22" s="931"/>
      <c r="C22" s="943" t="str">
        <f t="shared" si="9"/>
        <v/>
      </c>
      <c r="D22" s="925">
        <f>'6. P y G (Ej 1º,2º)'!O18</f>
        <v>0</v>
      </c>
      <c r="E22" s="944" t="str">
        <f t="shared" si="10"/>
        <v/>
      </c>
      <c r="F22" s="927" t="str">
        <f t="shared" si="0"/>
        <v/>
      </c>
      <c r="G22" s="925">
        <f>'6. P y G (Ej 1º,2º)'!AF18</f>
        <v>0</v>
      </c>
      <c r="H22" s="945" t="str">
        <f t="shared" si="1"/>
        <v/>
      </c>
      <c r="I22" s="946" t="str">
        <f>IF($G$22=0,"",IF(D22=0,"NS",(G22-D22)/ABS(D22)))</f>
        <v/>
      </c>
      <c r="J22" s="928">
        <f t="shared" si="14"/>
        <v>0</v>
      </c>
      <c r="K22" s="944" t="str">
        <f t="shared" si="11"/>
        <v/>
      </c>
      <c r="L22" s="1957">
        <v>0.03</v>
      </c>
      <c r="M22" s="928">
        <f t="shared" si="15"/>
        <v>0</v>
      </c>
      <c r="N22" s="944" t="str">
        <f t="shared" si="12"/>
        <v/>
      </c>
      <c r="O22" s="1957">
        <v>0.03</v>
      </c>
      <c r="P22" s="928">
        <f t="shared" si="16"/>
        <v>0</v>
      </c>
      <c r="Q22" s="944" t="str">
        <f t="shared" si="13"/>
        <v/>
      </c>
      <c r="R22" s="1957">
        <v>0.03</v>
      </c>
      <c r="S22" s="729"/>
      <c r="T22" s="799"/>
      <c r="X22" s="3787"/>
      <c r="Y22" s="3789"/>
      <c r="AA22" s="4029"/>
      <c r="AB22" s="4015"/>
      <c r="AC22" s="4029"/>
      <c r="AD22" s="4015"/>
    </row>
    <row r="23" spans="1:30" ht="16.5" customHeight="1">
      <c r="A23" s="922" t="str">
        <f>'6. P y G (Ej 1º,2º)'!A19</f>
        <v xml:space="preserve">Gestoría, Asesoría y Auditoras (Servicios Profesionales Indep.) </v>
      </c>
      <c r="B23" s="931"/>
      <c r="C23" s="943" t="str">
        <f t="shared" si="9"/>
        <v/>
      </c>
      <c r="D23" s="925">
        <f>'6. P y G (Ej 1º,2º)'!O19</f>
        <v>0</v>
      </c>
      <c r="E23" s="944" t="str">
        <f t="shared" si="10"/>
        <v/>
      </c>
      <c r="F23" s="927" t="str">
        <f t="shared" si="0"/>
        <v/>
      </c>
      <c r="G23" s="925">
        <f>'6. P y G (Ej 1º,2º)'!AF19</f>
        <v>0</v>
      </c>
      <c r="H23" s="945" t="str">
        <f t="shared" si="1"/>
        <v/>
      </c>
      <c r="I23" s="946" t="str">
        <f>IF($G$23=0,"",IF(D23=0,"NS",(G23-D23)/ABS(D23)))</f>
        <v/>
      </c>
      <c r="J23" s="928">
        <f t="shared" si="14"/>
        <v>0</v>
      </c>
      <c r="K23" s="944" t="str">
        <f t="shared" si="11"/>
        <v/>
      </c>
      <c r="L23" s="1957">
        <v>0.03</v>
      </c>
      <c r="M23" s="928">
        <f t="shared" si="15"/>
        <v>0</v>
      </c>
      <c r="N23" s="944" t="str">
        <f t="shared" si="12"/>
        <v/>
      </c>
      <c r="O23" s="1957">
        <v>0.03</v>
      </c>
      <c r="P23" s="928">
        <f t="shared" si="16"/>
        <v>0</v>
      </c>
      <c r="Q23" s="944" t="str">
        <f t="shared" si="13"/>
        <v/>
      </c>
      <c r="R23" s="1957">
        <v>0.03</v>
      </c>
      <c r="S23" s="729"/>
      <c r="T23" s="799"/>
      <c r="X23" s="3830">
        <f>(X19+X21)</f>
        <v>0</v>
      </c>
      <c r="Y23" s="3832">
        <f>IF(X9=0,0,X23/X9)</f>
        <v>0</v>
      </c>
      <c r="AA23" s="4031">
        <f>(AA19+AA21)</f>
        <v>0</v>
      </c>
      <c r="AB23" s="4023">
        <f>IF(AA9=0,0,AA23/AA9)</f>
        <v>0</v>
      </c>
      <c r="AC23" s="4031">
        <f>(AC19+AC21)</f>
        <v>0</v>
      </c>
      <c r="AD23" s="4023">
        <f>IF(AC9=0,0,AC23/AC9)</f>
        <v>0</v>
      </c>
    </row>
    <row r="24" spans="1:30" ht="16.5" customHeight="1" thickBot="1">
      <c r="A24" s="922" t="str">
        <f>'6. P y G (Ej 1º,2º)'!A20</f>
        <v>Material de Oficina, Limpieza y Otros</v>
      </c>
      <c r="B24" s="931"/>
      <c r="C24" s="943" t="str">
        <f t="shared" si="9"/>
        <v/>
      </c>
      <c r="D24" s="925">
        <f>'6. P y G (Ej 1º,2º)'!O20</f>
        <v>0</v>
      </c>
      <c r="E24" s="944" t="str">
        <f t="shared" si="10"/>
        <v/>
      </c>
      <c r="F24" s="927" t="str">
        <f t="shared" si="0"/>
        <v/>
      </c>
      <c r="G24" s="925">
        <f>'6. P y G (Ej 1º,2º)'!AF20</f>
        <v>0</v>
      </c>
      <c r="H24" s="945" t="str">
        <f t="shared" si="1"/>
        <v/>
      </c>
      <c r="I24" s="946" t="str">
        <f>IF($G$24=0,"",IF(D24=0,"NS",(G24-D24)/ABS(D24)))</f>
        <v/>
      </c>
      <c r="J24" s="928">
        <f t="shared" si="14"/>
        <v>0</v>
      </c>
      <c r="K24" s="944" t="str">
        <f t="shared" si="11"/>
        <v/>
      </c>
      <c r="L24" s="1957">
        <v>0.03</v>
      </c>
      <c r="M24" s="928">
        <f t="shared" si="15"/>
        <v>0</v>
      </c>
      <c r="N24" s="944" t="str">
        <f t="shared" si="12"/>
        <v/>
      </c>
      <c r="O24" s="1957">
        <v>0.03</v>
      </c>
      <c r="P24" s="928">
        <f t="shared" si="16"/>
        <v>0</v>
      </c>
      <c r="Q24" s="944" t="str">
        <f t="shared" si="13"/>
        <v/>
      </c>
      <c r="R24" s="1957">
        <v>0.03</v>
      </c>
      <c r="S24" s="729"/>
      <c r="T24" s="799"/>
      <c r="X24" s="3831"/>
      <c r="Y24" s="3833"/>
      <c r="AA24" s="4032"/>
      <c r="AB24" s="4024"/>
      <c r="AC24" s="4032"/>
      <c r="AD24" s="4024"/>
    </row>
    <row r="25" spans="1:30" ht="16.5" customHeight="1">
      <c r="A25" s="922" t="str">
        <f>'6. P y G (Ej 1º,2º)'!A21</f>
        <v xml:space="preserve">Marketing (on y off) </v>
      </c>
      <c r="B25" s="931"/>
      <c r="C25" s="943" t="str">
        <f t="shared" si="9"/>
        <v/>
      </c>
      <c r="D25" s="925">
        <f>'6. P y G (Ej 1º,2º)'!O21</f>
        <v>0</v>
      </c>
      <c r="E25" s="944" t="str">
        <f t="shared" si="10"/>
        <v/>
      </c>
      <c r="F25" s="927" t="str">
        <f t="shared" si="0"/>
        <v/>
      </c>
      <c r="G25" s="925">
        <f>'6. P y G (Ej 1º,2º)'!AF21</f>
        <v>0</v>
      </c>
      <c r="H25" s="945" t="str">
        <f t="shared" si="1"/>
        <v/>
      </c>
      <c r="I25" s="946" t="str">
        <f>IF($G$25=0,"",IF(D25=0,"NS",(G25-D25)/ABS(D25)))</f>
        <v/>
      </c>
      <c r="J25" s="928">
        <f t="shared" si="14"/>
        <v>0</v>
      </c>
      <c r="K25" s="944" t="str">
        <f t="shared" si="11"/>
        <v/>
      </c>
      <c r="L25" s="1957">
        <v>0.03</v>
      </c>
      <c r="M25" s="928">
        <f t="shared" si="15"/>
        <v>0</v>
      </c>
      <c r="N25" s="944" t="str">
        <f t="shared" si="12"/>
        <v/>
      </c>
      <c r="O25" s="1957">
        <v>0.03</v>
      </c>
      <c r="P25" s="928">
        <f t="shared" si="16"/>
        <v>0</v>
      </c>
      <c r="Q25" s="944" t="str">
        <f t="shared" si="13"/>
        <v/>
      </c>
      <c r="R25" s="1957">
        <v>0.03</v>
      </c>
      <c r="S25" s="737"/>
      <c r="T25" s="799"/>
      <c r="X25" s="3803">
        <f>X17-X23</f>
        <v>0</v>
      </c>
      <c r="Y25" s="3805">
        <f>IF(X9=0,0,X25/X9)</f>
        <v>0</v>
      </c>
      <c r="AA25" s="4021">
        <f>AA17-AA23</f>
        <v>0</v>
      </c>
      <c r="AB25" s="4016">
        <f>IF(AA9=0,0,AA25/AA9)</f>
        <v>0</v>
      </c>
      <c r="AC25" s="4021">
        <f>AC17-AC23</f>
        <v>0</v>
      </c>
      <c r="AD25" s="4016">
        <f>IF(AC9=0,0,AC25/AC9)</f>
        <v>0</v>
      </c>
    </row>
    <row r="26" spans="1:30" ht="16.5" customHeight="1" thickBot="1">
      <c r="A26" s="922" t="str">
        <f>'6. P y G (Ej 1º,2º)'!A22</f>
        <v xml:space="preserve">Primas de Seguros  </v>
      </c>
      <c r="B26" s="931"/>
      <c r="C26" s="943" t="str">
        <f t="shared" si="9"/>
        <v/>
      </c>
      <c r="D26" s="925">
        <f>'6. P y G (Ej 1º,2º)'!O22</f>
        <v>0</v>
      </c>
      <c r="E26" s="944" t="str">
        <f t="shared" si="10"/>
        <v/>
      </c>
      <c r="F26" s="927" t="str">
        <f t="shared" si="0"/>
        <v/>
      </c>
      <c r="G26" s="925">
        <f>'6. P y G (Ej 1º,2º)'!AF22</f>
        <v>0</v>
      </c>
      <c r="H26" s="945" t="str">
        <f t="shared" si="1"/>
        <v/>
      </c>
      <c r="I26" s="946" t="str">
        <f>IF($G$26=0,"",IF(D26=0,"NS",(G26-D26)/ABS(D26)))</f>
        <v/>
      </c>
      <c r="J26" s="928">
        <f t="shared" si="14"/>
        <v>0</v>
      </c>
      <c r="K26" s="944" t="str">
        <f t="shared" si="11"/>
        <v/>
      </c>
      <c r="L26" s="1957">
        <v>0.03</v>
      </c>
      <c r="M26" s="928">
        <f t="shared" si="15"/>
        <v>0</v>
      </c>
      <c r="N26" s="944" t="str">
        <f t="shared" si="12"/>
        <v/>
      </c>
      <c r="O26" s="1957">
        <v>0.03</v>
      </c>
      <c r="P26" s="928">
        <f t="shared" si="16"/>
        <v>0</v>
      </c>
      <c r="Q26" s="944" t="str">
        <f t="shared" si="13"/>
        <v/>
      </c>
      <c r="R26" s="1957">
        <v>0.03</v>
      </c>
      <c r="S26" s="729"/>
      <c r="T26" s="799"/>
      <c r="X26" s="3804"/>
      <c r="Y26" s="3806"/>
      <c r="AA26" s="4043"/>
      <c r="AB26" s="4033"/>
      <c r="AC26" s="4043"/>
      <c r="AD26" s="4033"/>
    </row>
    <row r="27" spans="1:30" ht="16.5" customHeight="1">
      <c r="A27" s="922" t="str">
        <f>'6. P y G (Ej 1º,2º)'!A23</f>
        <v>Trabajos Realizados por Otras Empresas</v>
      </c>
      <c r="B27" s="931"/>
      <c r="C27" s="943" t="str">
        <f t="shared" si="9"/>
        <v/>
      </c>
      <c r="D27" s="925">
        <f>'6. P y G (Ej 1º,2º)'!O23</f>
        <v>0</v>
      </c>
      <c r="E27" s="944" t="str">
        <f t="shared" si="10"/>
        <v/>
      </c>
      <c r="F27" s="927" t="str">
        <f t="shared" si="0"/>
        <v/>
      </c>
      <c r="G27" s="925">
        <f>'6. P y G (Ej 1º,2º)'!AF23</f>
        <v>0</v>
      </c>
      <c r="H27" s="945" t="str">
        <f t="shared" si="1"/>
        <v/>
      </c>
      <c r="I27" s="946" t="str">
        <f>IF($G$27=0,"",IF(D27=0,"NS",(G27-D27)/ABS(D27)))</f>
        <v/>
      </c>
      <c r="J27" s="928">
        <f t="shared" si="14"/>
        <v>0</v>
      </c>
      <c r="K27" s="944" t="str">
        <f t="shared" si="11"/>
        <v/>
      </c>
      <c r="L27" s="1957">
        <v>0.03</v>
      </c>
      <c r="M27" s="928">
        <f t="shared" si="15"/>
        <v>0</v>
      </c>
      <c r="N27" s="944" t="str">
        <f t="shared" si="12"/>
        <v/>
      </c>
      <c r="O27" s="1957">
        <v>0.03</v>
      </c>
      <c r="P27" s="928">
        <f t="shared" si="16"/>
        <v>0</v>
      </c>
      <c r="Q27" s="944" t="str">
        <f t="shared" si="13"/>
        <v/>
      </c>
      <c r="R27" s="1957">
        <v>0.03</v>
      </c>
      <c r="S27" s="729"/>
      <c r="T27" s="799"/>
      <c r="X27" s="3786">
        <f>'(0) 5. Resumen P y G (5 Ej.)'!J36</f>
        <v>0</v>
      </c>
      <c r="Y27" s="3788">
        <f>IF(X9=0,0,X27/X9)</f>
        <v>0</v>
      </c>
      <c r="AA27" s="4034">
        <f>M36</f>
        <v>0</v>
      </c>
      <c r="AB27" s="4020">
        <f>IF(AA9=0,0,AA27/AA9)</f>
        <v>0</v>
      </c>
      <c r="AC27" s="4034">
        <f>P36</f>
        <v>0</v>
      </c>
      <c r="AD27" s="4020">
        <f>IF(AC9=0,0,AC27/AC9)</f>
        <v>0</v>
      </c>
    </row>
    <row r="28" spans="1:30" ht="16.5" customHeight="1" thickBot="1">
      <c r="A28" s="922" t="str">
        <f>'6. P y G (Ej 1º,2º)'!A24</f>
        <v xml:space="preserve">Reparaciones, Mantenimiento y Conservación  </v>
      </c>
      <c r="B28" s="931"/>
      <c r="C28" s="943" t="str">
        <f t="shared" si="9"/>
        <v/>
      </c>
      <c r="D28" s="925">
        <f>'6. P y G (Ej 1º,2º)'!O24</f>
        <v>0</v>
      </c>
      <c r="E28" s="944" t="str">
        <f t="shared" si="10"/>
        <v/>
      </c>
      <c r="F28" s="927" t="str">
        <f t="shared" si="0"/>
        <v/>
      </c>
      <c r="G28" s="925">
        <f>'6. P y G (Ej 1º,2º)'!AF24</f>
        <v>0</v>
      </c>
      <c r="H28" s="945" t="str">
        <f t="shared" si="1"/>
        <v/>
      </c>
      <c r="I28" s="946" t="str">
        <f>IF($G$28=0,"",IF(D28=0,"NS",(G28-D28)/ABS(D28)))</f>
        <v/>
      </c>
      <c r="J28" s="928">
        <f t="shared" si="14"/>
        <v>0</v>
      </c>
      <c r="K28" s="944" t="str">
        <f t="shared" si="11"/>
        <v/>
      </c>
      <c r="L28" s="1957">
        <v>0.03</v>
      </c>
      <c r="M28" s="928">
        <f t="shared" si="15"/>
        <v>0</v>
      </c>
      <c r="N28" s="944" t="str">
        <f t="shared" si="12"/>
        <v/>
      </c>
      <c r="O28" s="1957">
        <v>0.03</v>
      </c>
      <c r="P28" s="928">
        <f t="shared" si="16"/>
        <v>0</v>
      </c>
      <c r="Q28" s="944" t="str">
        <f t="shared" si="13"/>
        <v/>
      </c>
      <c r="R28" s="1957">
        <v>0.03</v>
      </c>
      <c r="S28" s="729"/>
      <c r="T28" s="799"/>
      <c r="X28" s="3787"/>
      <c r="Y28" s="3789"/>
      <c r="AA28" s="4029"/>
      <c r="AB28" s="4015"/>
      <c r="AC28" s="4029"/>
      <c r="AD28" s="4015"/>
    </row>
    <row r="29" spans="1:30" ht="16.5" customHeight="1">
      <c r="A29" s="922" t="str">
        <f>'6. P y G (Ej 1º,2º)'!A25</f>
        <v xml:space="preserve">Arrendamientos y Cánones  </v>
      </c>
      <c r="B29" s="931"/>
      <c r="C29" s="943" t="str">
        <f t="shared" si="9"/>
        <v/>
      </c>
      <c r="D29" s="925">
        <f>'6. P y G (Ej 1º,2º)'!O25</f>
        <v>0</v>
      </c>
      <c r="E29" s="944" t="str">
        <f t="shared" si="10"/>
        <v/>
      </c>
      <c r="F29" s="927" t="str">
        <f t="shared" si="0"/>
        <v/>
      </c>
      <c r="G29" s="925">
        <f>'6. P y G (Ej 1º,2º)'!AF25</f>
        <v>0</v>
      </c>
      <c r="H29" s="945" t="str">
        <f t="shared" si="1"/>
        <v/>
      </c>
      <c r="I29" s="946" t="str">
        <f>IF($G$29=0,"",IF(D29=0,"NS",(G29-D29)/ABS(D29)))</f>
        <v/>
      </c>
      <c r="J29" s="928">
        <f t="shared" si="14"/>
        <v>0</v>
      </c>
      <c r="K29" s="944" t="str">
        <f t="shared" si="11"/>
        <v/>
      </c>
      <c r="L29" s="1957">
        <v>0.03</v>
      </c>
      <c r="M29" s="928">
        <f t="shared" si="15"/>
        <v>0</v>
      </c>
      <c r="N29" s="944" t="str">
        <f t="shared" si="12"/>
        <v/>
      </c>
      <c r="O29" s="1957">
        <v>0.03</v>
      </c>
      <c r="P29" s="928">
        <f t="shared" si="16"/>
        <v>0</v>
      </c>
      <c r="Q29" s="944" t="str">
        <f t="shared" si="13"/>
        <v/>
      </c>
      <c r="R29" s="1957">
        <v>0.03</v>
      </c>
      <c r="S29" s="729"/>
      <c r="T29" s="799"/>
      <c r="X29" s="3803">
        <f>X25-X27</f>
        <v>0</v>
      </c>
      <c r="Y29" s="3805">
        <f>IF(X9=0,0,X29/X9)</f>
        <v>0</v>
      </c>
      <c r="AA29" s="4021">
        <f>AA25-AA27</f>
        <v>0</v>
      </c>
      <c r="AB29" s="4016">
        <f>IF(AA9=0,0,AA29/AA9)</f>
        <v>0</v>
      </c>
      <c r="AC29" s="4021">
        <f>AC25-AC27</f>
        <v>0</v>
      </c>
      <c r="AD29" s="4016">
        <f>IF(AC9=0,0,AC29/AC9)</f>
        <v>0</v>
      </c>
    </row>
    <row r="30" spans="1:30" ht="16.5" customHeight="1" thickBot="1">
      <c r="A30" s="922" t="str">
        <f>'6. P y G (Ej 1º,2º)'!A26</f>
        <v xml:space="preserve">Transportes y Mensajería </v>
      </c>
      <c r="B30" s="931"/>
      <c r="C30" s="943" t="str">
        <f t="shared" si="9"/>
        <v/>
      </c>
      <c r="D30" s="925">
        <f>'6. P y G (Ej 1º,2º)'!O26</f>
        <v>0</v>
      </c>
      <c r="E30" s="944" t="str">
        <f t="shared" si="10"/>
        <v/>
      </c>
      <c r="F30" s="927" t="str">
        <f t="shared" si="0"/>
        <v/>
      </c>
      <c r="G30" s="925">
        <f>'6. P y G (Ej 1º,2º)'!AF26</f>
        <v>0</v>
      </c>
      <c r="H30" s="945" t="str">
        <f t="shared" si="1"/>
        <v/>
      </c>
      <c r="I30" s="946" t="str">
        <f>IF($G$30=0,"",IF(D30=0,"NS",(G30-D30)/ABS(D30)))</f>
        <v/>
      </c>
      <c r="J30" s="928">
        <f t="shared" si="14"/>
        <v>0</v>
      </c>
      <c r="K30" s="944" t="str">
        <f t="shared" si="11"/>
        <v/>
      </c>
      <c r="L30" s="1957">
        <v>0.03</v>
      </c>
      <c r="M30" s="928">
        <f t="shared" si="15"/>
        <v>0</v>
      </c>
      <c r="N30" s="944" t="str">
        <f t="shared" si="12"/>
        <v/>
      </c>
      <c r="O30" s="1957">
        <v>0.03</v>
      </c>
      <c r="P30" s="928">
        <f t="shared" si="16"/>
        <v>0</v>
      </c>
      <c r="Q30" s="944" t="str">
        <f t="shared" si="13"/>
        <v/>
      </c>
      <c r="R30" s="1957">
        <v>0.03</v>
      </c>
      <c r="S30" s="729"/>
      <c r="T30" s="799"/>
      <c r="X30" s="3820"/>
      <c r="Y30" s="3821"/>
      <c r="AA30" s="4022"/>
      <c r="AB30" s="4017"/>
      <c r="AC30" s="4022"/>
      <c r="AD30" s="4017"/>
    </row>
    <row r="31" spans="1:30" ht="16.5" customHeight="1">
      <c r="A31" s="922" t="str">
        <f>'6. P y G (Ej 1º,2º)'!A27</f>
        <v xml:space="preserve">Otros Servicios (1)  </v>
      </c>
      <c r="B31" s="931"/>
      <c r="C31" s="943" t="str">
        <f t="shared" si="9"/>
        <v/>
      </c>
      <c r="D31" s="925">
        <f>'6. P y G (Ej 1º,2º)'!O27</f>
        <v>0</v>
      </c>
      <c r="E31" s="944" t="str">
        <f t="shared" si="10"/>
        <v/>
      </c>
      <c r="F31" s="927" t="str">
        <f t="shared" si="0"/>
        <v/>
      </c>
      <c r="G31" s="925">
        <f>'6. P y G (Ej 1º,2º)'!AF27</f>
        <v>0</v>
      </c>
      <c r="H31" s="945" t="str">
        <f t="shared" si="1"/>
        <v/>
      </c>
      <c r="I31" s="946" t="str">
        <f>IF($G$31=0,"",IF(D31=0,"NS",(G31-D31)/ABS(D31)))</f>
        <v/>
      </c>
      <c r="J31" s="928">
        <f t="shared" si="14"/>
        <v>0</v>
      </c>
      <c r="K31" s="944" t="str">
        <f t="shared" si="11"/>
        <v/>
      </c>
      <c r="L31" s="1957">
        <v>0.03</v>
      </c>
      <c r="M31" s="928">
        <f t="shared" si="15"/>
        <v>0</v>
      </c>
      <c r="N31" s="944" t="str">
        <f t="shared" si="12"/>
        <v/>
      </c>
      <c r="O31" s="1957">
        <v>0.03</v>
      </c>
      <c r="P31" s="928">
        <f t="shared" si="16"/>
        <v>0</v>
      </c>
      <c r="Q31" s="944" t="str">
        <f t="shared" si="13"/>
        <v/>
      </c>
      <c r="R31" s="1957">
        <v>0.03</v>
      </c>
      <c r="S31" s="729"/>
      <c r="T31" s="799"/>
      <c r="X31" s="3786">
        <f>'(0) 5. Resumen P y G (5 Ej.)'!J39</f>
        <v>0</v>
      </c>
      <c r="Y31" s="3834">
        <f>IF('(0) 5. Resumen P y G (5 Ej.)'!X9=0,0,X31/'(0) 5. Resumen P y G (5 Ej.)'!X9)</f>
        <v>0</v>
      </c>
      <c r="AA31" s="1950">
        <f>M39</f>
        <v>0</v>
      </c>
      <c r="AB31" s="1990">
        <f>IF(AA9=0,0,AA31/AA9)</f>
        <v>0</v>
      </c>
      <c r="AC31" s="1950">
        <f>P39</f>
        <v>0</v>
      </c>
      <c r="AD31" s="1990">
        <f>IF(AC9=0,0,AC31/AC9)</f>
        <v>0</v>
      </c>
    </row>
    <row r="32" spans="1:30" ht="16.5" customHeight="1" thickBot="1">
      <c r="A32" s="942" t="str">
        <f>'6. P y G (Ej 1º,2º)'!A28</f>
        <v xml:space="preserve">Otros Servicios (2)  </v>
      </c>
      <c r="B32" s="947"/>
      <c r="C32" s="943" t="str">
        <f t="shared" si="9"/>
        <v/>
      </c>
      <c r="D32" s="925">
        <f>'6. P y G (Ej 1º,2º)'!O28</f>
        <v>0</v>
      </c>
      <c r="E32" s="944" t="str">
        <f t="shared" si="10"/>
        <v/>
      </c>
      <c r="F32" s="927" t="str">
        <f t="shared" si="0"/>
        <v/>
      </c>
      <c r="G32" s="925">
        <f>'6. P y G (Ej 1º,2º)'!AF28</f>
        <v>0</v>
      </c>
      <c r="H32" s="945" t="str">
        <f t="shared" si="1"/>
        <v/>
      </c>
      <c r="I32" s="946" t="str">
        <f>IF($G$32=0,"",IF(D32=0,"NS",(G32-D32)/ABS(D32)))</f>
        <v/>
      </c>
      <c r="J32" s="928">
        <f t="shared" si="14"/>
        <v>0</v>
      </c>
      <c r="K32" s="944" t="str">
        <f t="shared" si="11"/>
        <v/>
      </c>
      <c r="L32" s="1957">
        <v>0.03</v>
      </c>
      <c r="M32" s="928">
        <f t="shared" si="15"/>
        <v>0</v>
      </c>
      <c r="N32" s="944" t="str">
        <f t="shared" si="12"/>
        <v/>
      </c>
      <c r="O32" s="1957">
        <v>0.03</v>
      </c>
      <c r="P32" s="928">
        <f t="shared" si="16"/>
        <v>0</v>
      </c>
      <c r="Q32" s="944" t="str">
        <f t="shared" si="13"/>
        <v/>
      </c>
      <c r="R32" s="1957">
        <v>0.03</v>
      </c>
      <c r="S32" s="729"/>
      <c r="T32" s="799"/>
      <c r="X32" s="3861"/>
      <c r="Y32" s="3862"/>
      <c r="AA32" s="1991"/>
      <c r="AB32" s="1992"/>
      <c r="AC32" s="1991"/>
      <c r="AD32" s="1992"/>
    </row>
    <row r="33" spans="1:30" ht="16.5" customHeight="1">
      <c r="A33" s="942" t="str">
        <f>'6. P y G (Ej 1º,2º)'!A29</f>
        <v>Cuota de Renting</v>
      </c>
      <c r="B33" s="947"/>
      <c r="C33" s="943" t="str">
        <f t="shared" si="9"/>
        <v/>
      </c>
      <c r="D33" s="925">
        <f>'6. P y G (Ej 1º,2º)'!O29</f>
        <v>0</v>
      </c>
      <c r="E33" s="948" t="str">
        <f t="shared" si="10"/>
        <v/>
      </c>
      <c r="F33" s="927"/>
      <c r="G33" s="925">
        <f>'6. P y G (Ej 1º,2º)'!AF29</f>
        <v>0</v>
      </c>
      <c r="H33" s="945" t="str">
        <f t="shared" si="1"/>
        <v/>
      </c>
      <c r="I33" s="946" t="str">
        <f>IF($G$33=0,"",IF(D33=0,"NS",(G33-D33)/ABS(D33)))</f>
        <v/>
      </c>
      <c r="J33" s="928">
        <f>'(0) 3c. Cuadro Renting y L'!I11-SUM('Aux.4.0.Leasing Inicial'!B35:B46)</f>
        <v>0</v>
      </c>
      <c r="K33" s="944" t="str">
        <f t="shared" si="11"/>
        <v/>
      </c>
      <c r="L33" s="927" t="str">
        <f>IF($J$39=0,"",IF(G33=0,"NS",(J33-G33)/ABS(G33)))</f>
        <v/>
      </c>
      <c r="M33" s="928">
        <f>'(0) 3c. Cuadro Renting y L'!I12-SUM('Aux.4.0.Leasing Inicial'!B47:B58)</f>
        <v>0</v>
      </c>
      <c r="N33" s="944" t="str">
        <f t="shared" si="12"/>
        <v/>
      </c>
      <c r="O33" s="927" t="str">
        <f>IF($M$39=0,"",IF(J33=0,"NS",(M33-J33)/ABS(J33)))</f>
        <v/>
      </c>
      <c r="P33" s="928">
        <f>'(0) 3c. Cuadro Renting y L'!I13-SUM('Aux.4.0.Leasing Inicial'!B59:B70)</f>
        <v>0</v>
      </c>
      <c r="Q33" s="944" t="str">
        <f t="shared" si="13"/>
        <v/>
      </c>
      <c r="R33" s="927" t="str">
        <f>IF($P$39=0,"",IF(M33=0,"NS",(P33-M33)/ABS(M33)))</f>
        <v/>
      </c>
      <c r="S33" s="729"/>
      <c r="T33" s="799"/>
      <c r="X33" s="3830">
        <f>'(0) 5. Resumen P y G (5 Ej.)'!J40</f>
        <v>0</v>
      </c>
      <c r="Y33" s="3832">
        <f>IF('(0) 5. Resumen P y G (5 Ej.)'!X9=0,0,X33/'(0) 5. Resumen P y G (5 Ej.)'!X9)</f>
        <v>0</v>
      </c>
      <c r="AA33" s="4031">
        <f>M40</f>
        <v>0</v>
      </c>
      <c r="AB33" s="4023">
        <f>IF(AA9=0,0,AA33/AA9)</f>
        <v>0</v>
      </c>
      <c r="AC33" s="4031">
        <f>P40</f>
        <v>0</v>
      </c>
      <c r="AD33" s="4023">
        <f>IF(AC9=0,0,AC33/AC9)</f>
        <v>0</v>
      </c>
    </row>
    <row r="34" spans="1:30" ht="16.5" customHeight="1">
      <c r="A34" s="942" t="str">
        <f>'6. P y G (Ej 1º,2º)'!A30</f>
        <v>Gastos de la Puesta en Marcha y Formalización</v>
      </c>
      <c r="B34" s="947"/>
      <c r="C34" s="943"/>
      <c r="D34" s="925">
        <f>'6. P y G (Ej 1º,2º)'!O30</f>
        <v>0</v>
      </c>
      <c r="E34" s="948" t="str">
        <f t="shared" si="10"/>
        <v/>
      </c>
      <c r="F34" s="927"/>
      <c r="G34" s="925">
        <f>'6. P y G (Ej 1º,2º)'!AF30</f>
        <v>0</v>
      </c>
      <c r="H34" s="945" t="str">
        <f t="shared" si="1"/>
        <v/>
      </c>
      <c r="I34" s="946" t="str">
        <f>IF($G$34=0,"",IF(D34=0,"NS",(G34-D34)/ABS(D34)))</f>
        <v/>
      </c>
      <c r="J34" s="928">
        <f>('(0) 3c. Cuadro Renting y L'!L21+'(0) 3b. Préstam Financ.'!M22)+'(0) 3a. Préstam Particip.'!L22</f>
        <v>0</v>
      </c>
      <c r="K34" s="944" t="str">
        <f t="shared" si="11"/>
        <v/>
      </c>
      <c r="L34" s="927" t="str">
        <f>IF($J$34=0,"",IF(G34=0,"NS",(J34-G34)/ABS(G34)))</f>
        <v/>
      </c>
      <c r="M34" s="928">
        <f>('(0) 3c. Cuadro Renting y L'!M21+'(0) 3b. Préstam Financ.'!N22)</f>
        <v>0</v>
      </c>
      <c r="N34" s="944" t="str">
        <f t="shared" si="12"/>
        <v/>
      </c>
      <c r="O34" s="927" t="str">
        <f>IF($M$34=0,"",IF(J34=0,"NS",(M34-J34)/ABS(J34)))</f>
        <v/>
      </c>
      <c r="P34" s="928">
        <f>('(0) 3c. Cuadro Renting y L'!N21+'(0) 3b. Préstam Financ.'!O22)</f>
        <v>0</v>
      </c>
      <c r="Q34" s="944" t="str">
        <f t="shared" si="13"/>
        <v/>
      </c>
      <c r="R34" s="927" t="str">
        <f>IF($P$34=0,"",IF(M34=0,"NS",(P34-M34)/ABS(M34)))</f>
        <v/>
      </c>
      <c r="S34" s="729"/>
      <c r="T34" s="799"/>
      <c r="X34" s="3863"/>
      <c r="Y34" s="3864"/>
      <c r="AA34" s="3985"/>
      <c r="AB34" s="3986"/>
      <c r="AC34" s="3985"/>
      <c r="AD34" s="3986"/>
    </row>
    <row r="35" spans="1:30" ht="16.5" customHeight="1">
      <c r="A35" s="3002" t="str">
        <f>'6. P y G (Ej 1º,2º)'!A31</f>
        <v>Resultado Operativo (EBITDA)</v>
      </c>
      <c r="B35" s="2998">
        <f>B18-SUM(B19:B33)</f>
        <v>0</v>
      </c>
      <c r="C35" s="2997" t="str">
        <f t="shared" ref="C35:C41" si="17">IF(B$8&lt;&gt;0,B35/B$8,"")</f>
        <v/>
      </c>
      <c r="D35" s="2998">
        <f>'6. P y G (Ej 1º,2º)'!O31</f>
        <v>0</v>
      </c>
      <c r="E35" s="2997" t="str">
        <f t="shared" si="10"/>
        <v/>
      </c>
      <c r="F35" s="3000" t="str">
        <f t="shared" ref="F35:F41" si="18">IF(B35=0,IF(Consolidación?="NO","",""),(D35-B35)/ABS(B35))</f>
        <v/>
      </c>
      <c r="G35" s="3004">
        <f>G18-SUM(G19:G34)</f>
        <v>0</v>
      </c>
      <c r="H35" s="3005" t="str">
        <f t="shared" si="1"/>
        <v/>
      </c>
      <c r="I35" s="3000" t="str">
        <f>IF($G$35=0,"",IF(D35=0,"NS",(G35-D35)/ABS(D35)))</f>
        <v/>
      </c>
      <c r="J35" s="3004">
        <f>J18-SUM(J19:J34)</f>
        <v>0</v>
      </c>
      <c r="K35" s="3005" t="str">
        <f t="shared" si="11"/>
        <v/>
      </c>
      <c r="L35" s="3000" t="str">
        <f>IF($J$35=0,"",IF(G35=0,"NS",(J35-G35)/ABS(G35)))</f>
        <v/>
      </c>
      <c r="M35" s="3004">
        <f>M18-SUM(M19:M34)</f>
        <v>0</v>
      </c>
      <c r="N35" s="3005" t="str">
        <f t="shared" si="12"/>
        <v/>
      </c>
      <c r="O35" s="3000" t="str">
        <f>IF($M$35=0,"",IF(J35=0,"NS",(M35-J35)/ABS(J35)))</f>
        <v/>
      </c>
      <c r="P35" s="3004">
        <f>P18-SUM(P19:P34)</f>
        <v>0</v>
      </c>
      <c r="Q35" s="3005" t="str">
        <f t="shared" si="13"/>
        <v/>
      </c>
      <c r="R35" s="3000" t="str">
        <f>IF($P$35=0,"",IF(M35=0,"NS",(P35-M35)/ABS(M35)))</f>
        <v/>
      </c>
      <c r="S35" s="729"/>
      <c r="T35" s="794"/>
      <c r="X35" s="3784">
        <f>'(0) 5. Resumen P y G (5 Ej.)'!J43+'(0) 5. Resumen P y G (5 Ej.)'!J42</f>
        <v>0</v>
      </c>
      <c r="Y35" s="3791">
        <f>IF('(0) 5. Resumen P y G (5 Ej.)'!X9=0,0,X35/'(0) 5. Resumen P y G (5 Ej.)'!X9)</f>
        <v>0</v>
      </c>
      <c r="AA35" s="4028">
        <f>M43+M42</f>
        <v>0</v>
      </c>
      <c r="AB35" s="4014">
        <f>IF(AA9=0,0,AA35/AA9)</f>
        <v>0</v>
      </c>
      <c r="AC35" s="4028">
        <f>P43+P42</f>
        <v>0</v>
      </c>
      <c r="AD35" s="4014">
        <f>IF(AC9=0,0,AC35/AC9)</f>
        <v>0</v>
      </c>
    </row>
    <row r="36" spans="1:30" ht="16.5" customHeight="1" thickBot="1">
      <c r="A36" s="942" t="str">
        <f>'6. P y G (Ej 1º,2º)'!A32</f>
        <v>Dotación Amortizaciones</v>
      </c>
      <c r="B36" s="933"/>
      <c r="C36" s="943" t="str">
        <f t="shared" si="17"/>
        <v/>
      </c>
      <c r="D36" s="925">
        <f>'6. P y G (Ej 1º,2º)'!O32</f>
        <v>0</v>
      </c>
      <c r="E36" s="944" t="str">
        <f t="shared" si="10"/>
        <v/>
      </c>
      <c r="F36" s="927" t="str">
        <f t="shared" si="18"/>
        <v/>
      </c>
      <c r="G36" s="925">
        <f>'6. P y G (Ej 1º,2º)'!AF32</f>
        <v>0</v>
      </c>
      <c r="H36" s="945" t="str">
        <f t="shared" si="1"/>
        <v/>
      </c>
      <c r="I36" s="946" t="str">
        <f>IF($G$36=0,"",IF(D36=0,"NS",(G36-D36)/ABS(D36)))</f>
        <v/>
      </c>
      <c r="J36" s="928">
        <f>'Aux. Amortiz Contable'!M27</f>
        <v>0</v>
      </c>
      <c r="K36" s="944" t="str">
        <f t="shared" si="11"/>
        <v/>
      </c>
      <c r="L36" s="927" t="str">
        <f>IF($J$36=0,"",IF(G36=0,"NS",(J36-G36)/ABS(G36)))</f>
        <v/>
      </c>
      <c r="M36" s="928">
        <f>'Aux. Amortiz Contable'!O27</f>
        <v>0</v>
      </c>
      <c r="N36" s="944" t="str">
        <f t="shared" si="12"/>
        <v/>
      </c>
      <c r="O36" s="927" t="str">
        <f>IF($M$36=0,"",IF(J36=0,"NS",(M36-J36)/ABS(J36)))</f>
        <v/>
      </c>
      <c r="P36" s="928">
        <f>'Aux. Amortiz Contable'!Q27</f>
        <v>0</v>
      </c>
      <c r="Q36" s="944" t="str">
        <f t="shared" si="13"/>
        <v/>
      </c>
      <c r="R36" s="927" t="str">
        <f>IF($P$36=0,"",IF(M36=0,"NS",(P36-M36)/ABS(M36)))</f>
        <v/>
      </c>
      <c r="S36" s="729"/>
      <c r="T36" s="799"/>
      <c r="X36" s="3865"/>
      <c r="Y36" s="3866"/>
      <c r="AA36" s="4044"/>
      <c r="AB36" s="4045"/>
      <c r="AC36" s="4044"/>
      <c r="AD36" s="4045"/>
    </row>
    <row r="37" spans="1:30" s="271" customFormat="1" ht="16.5" customHeight="1">
      <c r="A37" s="3006" t="str">
        <f>'6. P y G (Ej 1º,2º)'!A33</f>
        <v xml:space="preserve">Total Gastos de Explotación </v>
      </c>
      <c r="B37" s="3007" t="e">
        <f>SUM(B19:B33)+B36+#REF!</f>
        <v>#REF!</v>
      </c>
      <c r="C37" s="3008" t="str">
        <f t="shared" si="17"/>
        <v/>
      </c>
      <c r="D37" s="3007">
        <f>'6. P y G (Ej 1º,2º)'!O33</f>
        <v>0</v>
      </c>
      <c r="E37" s="3009" t="str">
        <f t="shared" si="10"/>
        <v/>
      </c>
      <c r="F37" s="3010" t="e">
        <f t="shared" si="18"/>
        <v>#REF!</v>
      </c>
      <c r="G37" s="3007">
        <f>SUM(G19:G34)+G36</f>
        <v>0</v>
      </c>
      <c r="H37" s="3009" t="str">
        <f t="shared" si="1"/>
        <v/>
      </c>
      <c r="I37" s="3010" t="str">
        <f>IF($G$37=0,"",IF(D37=0,"NS",(G37-D37)/ABS(D37)))</f>
        <v/>
      </c>
      <c r="J37" s="3007">
        <f>SUM(J19:J34)+J36</f>
        <v>0</v>
      </c>
      <c r="K37" s="3009" t="str">
        <f t="shared" si="11"/>
        <v/>
      </c>
      <c r="L37" s="3010" t="str">
        <f>IF($J$37=0,"",IF(G37=0,"NS",(J37-G37)/ABS(G37)))</f>
        <v/>
      </c>
      <c r="M37" s="3007">
        <f>SUM(M19:M34)+M36</f>
        <v>0</v>
      </c>
      <c r="N37" s="3009" t="str">
        <f t="shared" si="12"/>
        <v/>
      </c>
      <c r="O37" s="3010" t="str">
        <f>IF($M$37=0,"",IF(J37=0,"NS",(M37-J37)/ABS(J37)))</f>
        <v/>
      </c>
      <c r="P37" s="3007">
        <f>SUM(P19:P34)+P36</f>
        <v>0</v>
      </c>
      <c r="Q37" s="3009" t="str">
        <f t="shared" si="13"/>
        <v/>
      </c>
      <c r="R37" s="3010" t="str">
        <f>IF($P$37=0,"",IF(M37=0,"NS",(P37-M37)/ABS(M37)))</f>
        <v/>
      </c>
      <c r="S37" s="263"/>
      <c r="T37" s="794"/>
      <c r="V37" s="3063"/>
      <c r="X37" s="3803">
        <f>'(0) 5. Resumen P y G (5 Ej.)'!J44</f>
        <v>0</v>
      </c>
      <c r="Y37" s="3805">
        <f>IF('(0) 5. Resumen P y G (5 Ej.)'!X9=0,0,X37/'(0) 5. Resumen P y G (5 Ej.)'!X9)</f>
        <v>0</v>
      </c>
      <c r="AA37" s="4037">
        <f>M44</f>
        <v>0</v>
      </c>
      <c r="AB37" s="4040">
        <f>IF(AA9=0,0,AA37/AA9)</f>
        <v>0</v>
      </c>
      <c r="AC37" s="4037">
        <f>P44</f>
        <v>0</v>
      </c>
      <c r="AD37" s="4040">
        <f>IF(AC9=0,0,AC37/AC9)</f>
        <v>0</v>
      </c>
    </row>
    <row r="38" spans="1:30" s="271" customFormat="1" ht="16.5" customHeight="1" thickBot="1">
      <c r="A38" s="3002" t="str">
        <f>'6. P y G (Ej 1º,2º)'!A34</f>
        <v>Resultado de Explotación (EBIT) o (BAII)</v>
      </c>
      <c r="B38" s="2998" t="e">
        <f>B18-B37</f>
        <v>#REF!</v>
      </c>
      <c r="C38" s="2997" t="str">
        <f t="shared" si="17"/>
        <v/>
      </c>
      <c r="D38" s="2998">
        <f>'6. P y G (Ej 1º,2º)'!O34</f>
        <v>0</v>
      </c>
      <c r="E38" s="2999" t="str">
        <f t="shared" si="10"/>
        <v/>
      </c>
      <c r="F38" s="3000" t="e">
        <f t="shared" si="18"/>
        <v>#REF!</v>
      </c>
      <c r="G38" s="2998">
        <f>G18-G37</f>
        <v>0</v>
      </c>
      <c r="H38" s="2999" t="str">
        <f t="shared" si="1"/>
        <v/>
      </c>
      <c r="I38" s="3000" t="str">
        <f>IF($G$38=0,"",IF(D38=0,"NS",(G38-D38)/ABS(D38)))</f>
        <v/>
      </c>
      <c r="J38" s="2998">
        <f>J18-J37</f>
        <v>0</v>
      </c>
      <c r="K38" s="2999" t="str">
        <f t="shared" si="11"/>
        <v/>
      </c>
      <c r="L38" s="3000" t="str">
        <f>IF($J$38=0,"",IF(G38=0,"NS",(J38-G38)/ABS(G38)))</f>
        <v/>
      </c>
      <c r="M38" s="2998">
        <f>M18-M37</f>
        <v>0</v>
      </c>
      <c r="N38" s="2999" t="str">
        <f t="shared" si="12"/>
        <v/>
      </c>
      <c r="O38" s="3000" t="str">
        <f>IF($M$38=0,"",IF(J38=0,"NS",(M38-J38)/ABS(J38)))</f>
        <v/>
      </c>
      <c r="P38" s="2998">
        <f>P18-P37</f>
        <v>0</v>
      </c>
      <c r="Q38" s="2999" t="str">
        <f t="shared" si="13"/>
        <v/>
      </c>
      <c r="R38" s="3000" t="str">
        <f>IF($P$38=0,"",IF(M38=0,"NS",(P38-M38)/ABS(M38)))</f>
        <v/>
      </c>
      <c r="S38" s="263"/>
      <c r="T38" s="794"/>
      <c r="V38" s="3063"/>
      <c r="X38" s="3820"/>
      <c r="Y38" s="3821"/>
      <c r="AA38" s="4039"/>
      <c r="AB38" s="4042"/>
      <c r="AC38" s="4039"/>
      <c r="AD38" s="4042"/>
    </row>
    <row r="39" spans="1:30" ht="16.5" customHeight="1">
      <c r="A39" s="942" t="str">
        <f>'6. P y G (Ej 1º,2º)'!A35</f>
        <v>Gastos Financieros</v>
      </c>
      <c r="B39" s="940"/>
      <c r="C39" s="943" t="str">
        <f t="shared" si="17"/>
        <v/>
      </c>
      <c r="D39" s="925">
        <f>'6. P y G (Ej 1º,2º)'!O35</f>
        <v>0</v>
      </c>
      <c r="E39" s="944" t="str">
        <f t="shared" si="10"/>
        <v/>
      </c>
      <c r="F39" s="927" t="str">
        <f t="shared" si="18"/>
        <v/>
      </c>
      <c r="G39" s="928">
        <f>'6. P y G (Ej 1º,2º)'!AF35</f>
        <v>0</v>
      </c>
      <c r="H39" s="944" t="str">
        <f t="shared" si="1"/>
        <v/>
      </c>
      <c r="I39" s="927" t="str">
        <f>IF($G$39=0,"",IF(D39=0,"NS",(G39-D39)/ABS(D39)))</f>
        <v/>
      </c>
      <c r="J39" s="928">
        <f>IF(J8=0,0,(SUM('(0) 3b. Préstam Financ.'!J11)+SUM('(0) 3c. Cuadro Renting y L'!J11*0)+('2.Ventas y Cobros (Ej 1º,2º)'!P81+'8. Tesorería (Ej 1º,2º)'!O65)+('2.Ventas y Cobros (Ej 1º,2º)'!P81+'8. Tesorería (Ej 1º,2º)'!O65)*'(0) 5. Resumen P y G (5 Ej.)'!I8+('2.Ventas y Cobros (Ej 1º,2º)'!P81+'8. Tesorería (Ej 1º,2º)'!O65)*'(0) 5. Resumen P y G (5 Ej.)'!L8))+SUM('(0) 3a. Préstam Particip.'!E33:E44)+SUM('Aux.4.0.Leasing Inicial'!C35:C46)</f>
        <v>0</v>
      </c>
      <c r="K39" s="944" t="str">
        <f t="shared" si="11"/>
        <v/>
      </c>
      <c r="L39" s="927" t="str">
        <f>IF($J$39=0,"",IF(G39=0,"NS",(J39-G39)/ABS(G39)))</f>
        <v/>
      </c>
      <c r="M39" s="928">
        <f>IF(M8=0,0,(SUM('(0) 3b. Préstam Financ.'!J12)+SUM('(0) 3c. Cuadro Renting y L'!J12*0)+('2.Ventas y Cobros (Ej 1º,2º)'!P81+'8. Tesorería (Ej 1º,2º)'!O65)+('2.Ventas y Cobros (Ej 1º,2º)'!P81+'8. Tesorería (Ej 1º,2º)'!O65)*'(0) 5. Resumen P y G (5 Ej.)'!I8+('2.Ventas y Cobros (Ej 1º,2º)'!P81+'8. Tesorería (Ej 1º,2º)'!O65)*'(0) 5. Resumen P y G (5 Ej.)'!L8+('2.Ventas y Cobros (Ej 1º,2º)'!P81+'8. Tesorería (Ej 1º,2º)'!O65)*'(0) 5. Resumen P y G (5 Ej.)'!O8))+SUM('(0) 3a. Préstam Particip.'!E45:E56)+SUM('Aux.4.0.Leasing Inicial'!C47:C58)</f>
        <v>0</v>
      </c>
      <c r="N39" s="944" t="str">
        <f t="shared" si="12"/>
        <v/>
      </c>
      <c r="O39" s="927" t="str">
        <f>IF($M$39=0,"",IF(J39=0,"NS",(M39-J39)/ABS(J39)))</f>
        <v/>
      </c>
      <c r="P39" s="928">
        <f>IF(P8=0,0,(SUM('(0) 3b. Préstam Financ.'!J13)+SUM('(0) 3c. Cuadro Renting y L'!J13*0)+('2.Ventas y Cobros (Ej 1º,2º)'!P81+'8. Tesorería (Ej 1º,2º)'!O65)+('2.Ventas y Cobros (Ej 1º,2º)'!P81+'8. Tesorería (Ej 1º,2º)'!O65)*I8+('2.Ventas y Cobros (Ej 1º,2º)'!P81+'8. Tesorería (Ej 1º,2º)'!O65)*L8+('2.Ventas y Cobros (Ej 1º,2º)'!P81+'8. Tesorería (Ej 1º,2º)'!O65)*O8+('2.Ventas y Cobros (Ej 1º,2º)'!P81+'8. Tesorería (Ej 1º,2º)'!O65)*R8))+SUM('(0) 3a. Préstam Particip.'!E57:E68)+SUM('Aux.4.0.Leasing Inicial'!C59:C70)</f>
        <v>0</v>
      </c>
      <c r="Q39" s="944" t="str">
        <f t="shared" si="13"/>
        <v/>
      </c>
      <c r="R39" s="927" t="str">
        <f>IF($P$39=0,"",IF(M39=0,"NS",(P39-M39)/ABS(M39)))</f>
        <v/>
      </c>
      <c r="S39" s="729"/>
      <c r="T39" s="799"/>
      <c r="X39" s="4034">
        <f>'(0) 5. Resumen P y G (5 Ej.)'!J45</f>
        <v>0</v>
      </c>
      <c r="Y39" s="4020">
        <f>IF('(0) 5. Resumen P y G (5 Ej.)'!X9=0,0,X39/'(0) 5. Resumen P y G (5 Ej.)'!X9)</f>
        <v>0</v>
      </c>
      <c r="AA39" s="4034">
        <f>M45</f>
        <v>0</v>
      </c>
      <c r="AB39" s="4020">
        <f>IF(AA9=0,0,AA39/AA9)</f>
        <v>0</v>
      </c>
      <c r="AC39" s="4034">
        <f>P45</f>
        <v>0</v>
      </c>
      <c r="AD39" s="4020">
        <f>IF(AC9=0,0,AC39/AC9)</f>
        <v>0</v>
      </c>
    </row>
    <row r="40" spans="1:30" s="271" customFormat="1" ht="16.5" customHeight="1" thickBot="1">
      <c r="A40" s="3011" t="str">
        <f>'6. P y G (Ej 1º,2º)'!A36</f>
        <v>Resultado Financiero</v>
      </c>
      <c r="B40" s="3012" t="e">
        <f>#REF!-B39</f>
        <v>#REF!</v>
      </c>
      <c r="C40" s="3013" t="str">
        <f t="shared" si="17"/>
        <v/>
      </c>
      <c r="D40" s="3012">
        <f>'6. P y G (Ej 1º,2º)'!O36</f>
        <v>0</v>
      </c>
      <c r="E40" s="3014" t="str">
        <f t="shared" si="10"/>
        <v/>
      </c>
      <c r="F40" s="3015" t="e">
        <f t="shared" si="18"/>
        <v>#REF!</v>
      </c>
      <c r="G40" s="3012">
        <f>-G39</f>
        <v>0</v>
      </c>
      <c r="H40" s="3014" t="str">
        <f t="shared" si="1"/>
        <v/>
      </c>
      <c r="I40" s="3015" t="str">
        <f>IF($G$40=0,"",IF(D40=0,"NS",(G40-D40)/ABS(D40)))</f>
        <v/>
      </c>
      <c r="J40" s="3012">
        <f>-J39</f>
        <v>0</v>
      </c>
      <c r="K40" s="3014" t="str">
        <f t="shared" si="11"/>
        <v/>
      </c>
      <c r="L40" s="3015" t="str">
        <f>IF($J$40=0,"",IF(G40=0,"NS",(J40-G40)/ABS(G40)))</f>
        <v/>
      </c>
      <c r="M40" s="3012">
        <f>-M39</f>
        <v>0</v>
      </c>
      <c r="N40" s="3014" t="str">
        <f t="shared" si="12"/>
        <v/>
      </c>
      <c r="O40" s="3015" t="str">
        <f>IF($M$40=0,"",IF(J40=0,"NS",(M40-J40)/ABS(J40)))</f>
        <v/>
      </c>
      <c r="P40" s="3012">
        <f>-P39</f>
        <v>0</v>
      </c>
      <c r="Q40" s="3014" t="str">
        <f t="shared" si="13"/>
        <v/>
      </c>
      <c r="R40" s="3015" t="str">
        <f>IF($P$40=0,"",IF(M40=0,"NS",(P40-M40)/ABS(M40)))</f>
        <v/>
      </c>
      <c r="S40" s="263"/>
      <c r="T40" s="794"/>
      <c r="V40" s="3063"/>
      <c r="X40" s="4029"/>
      <c r="Y40" s="4015"/>
      <c r="AA40" s="4029"/>
      <c r="AB40" s="4015"/>
      <c r="AC40" s="4029"/>
      <c r="AD40" s="4015"/>
    </row>
    <row r="41" spans="1:30" s="271" customFormat="1" ht="16.5" customHeight="1">
      <c r="A41" s="1473" t="str">
        <f>'6. P y G (Ej 1º,2º)'!A37</f>
        <v>Resultado Antes de Impuestos y Res. Excepcionales</v>
      </c>
      <c r="B41" s="1474" t="e">
        <f>B38+B40</f>
        <v>#REF!</v>
      </c>
      <c r="C41" s="1475" t="str">
        <f t="shared" si="17"/>
        <v/>
      </c>
      <c r="D41" s="1476">
        <f>'6. P y G (Ej 1º,2º)'!O37</f>
        <v>0</v>
      </c>
      <c r="E41" s="1477" t="str">
        <f t="shared" si="10"/>
        <v/>
      </c>
      <c r="F41" s="1478" t="e">
        <f t="shared" si="18"/>
        <v>#REF!</v>
      </c>
      <c r="G41" s="1474">
        <f>G38+G40</f>
        <v>0</v>
      </c>
      <c r="H41" s="1477" t="str">
        <f t="shared" si="1"/>
        <v/>
      </c>
      <c r="I41" s="1478" t="str">
        <f>IF($G$41=0,"",IF(D41=0,"NS",(G41-D41)/ABS(D41)))</f>
        <v/>
      </c>
      <c r="J41" s="1474">
        <f>J38+J40</f>
        <v>0</v>
      </c>
      <c r="K41" s="1477" t="str">
        <f t="shared" si="11"/>
        <v/>
      </c>
      <c r="L41" s="1478" t="str">
        <f>IF($J$41=0,"",IF(G41=0,"NS",(J41-G41)/ABS(G41)))</f>
        <v/>
      </c>
      <c r="M41" s="1474">
        <f>M38+M40</f>
        <v>0</v>
      </c>
      <c r="N41" s="1477" t="str">
        <f t="shared" si="12"/>
        <v/>
      </c>
      <c r="O41" s="1478" t="str">
        <f>IF($M$41=0,"",IF(J41=0,"NS",(M41-J41)/ABS(J41)))</f>
        <v/>
      </c>
      <c r="P41" s="1474">
        <f>P38+P40</f>
        <v>0</v>
      </c>
      <c r="Q41" s="1477" t="str">
        <f t="shared" si="13"/>
        <v/>
      </c>
      <c r="R41" s="1478" t="str">
        <f>IF($P$41=0,"",IF(M41=0,"NS",(P41-M41)/ABS(M41)))</f>
        <v/>
      </c>
      <c r="S41" s="263"/>
      <c r="T41" s="794"/>
      <c r="V41" s="3063"/>
      <c r="X41" s="3814">
        <f>'(0) 5. Resumen P y G (5 Ej.)'!J46</f>
        <v>0</v>
      </c>
      <c r="Y41" s="3817">
        <f>IF('(0) 5. Resumen P y G (5 Ej.)'!X9=0,0,X41/'(0) 5. Resumen P y G (5 Ej.)'!X9)</f>
        <v>0</v>
      </c>
      <c r="AA41" s="4037">
        <f>M46</f>
        <v>0</v>
      </c>
      <c r="AB41" s="4040">
        <f>IF(AA9=0,0,AA41/AA9)</f>
        <v>0</v>
      </c>
      <c r="AC41" s="4037">
        <f>P46</f>
        <v>0</v>
      </c>
      <c r="AD41" s="4040">
        <f>IF(AC9=0,0,AC41/AC9)</f>
        <v>0</v>
      </c>
    </row>
    <row r="42" spans="1:30" s="271" customFormat="1" ht="16.5" customHeight="1">
      <c r="A42" s="1479" t="str">
        <f>'6. P y G (Ej 1º,2º)'!A38</f>
        <v xml:space="preserve"> + Otros Ingresos (por Crowfunding de Recompensa)</v>
      </c>
      <c r="B42" s="949"/>
      <c r="C42" s="924"/>
      <c r="D42" s="928">
        <f>('6. P y G (Ej 1º,2º)'!O38)</f>
        <v>0</v>
      </c>
      <c r="E42" s="1563" t="str">
        <f t="shared" si="10"/>
        <v/>
      </c>
      <c r="F42" s="950"/>
      <c r="G42" s="928">
        <f>('6. P y G (Ej 1º,2º)'!T38)</f>
        <v>0</v>
      </c>
      <c r="H42" s="1563" t="str">
        <f t="shared" si="1"/>
        <v/>
      </c>
      <c r="I42" s="1562" t="str">
        <f>IF($G$42=0,"",IF(D42=0,"NS",(G42-D42)/ABS(D42)))</f>
        <v/>
      </c>
      <c r="J42" s="928">
        <f>('7. Plan Invers-Financ (1º,2º)'!AV41+'7. Plan Invers-Financ (1º,2º)'!AV42)-'7. Plan Invers-Financ (1º,2º)'!AV70</f>
        <v>0</v>
      </c>
      <c r="K42" s="1564" t="str">
        <f t="shared" si="11"/>
        <v/>
      </c>
      <c r="L42" s="1562" t="str">
        <f>IF($J$42=0,"",IF(G42=0,"NS",(J42-G42)/ABS(G42)))</f>
        <v/>
      </c>
      <c r="M42" s="928">
        <f>('7. Plan Invers-Financ (1º,2º)'!AY41+'7. Plan Invers-Financ (1º,2º)'!AY42)-'7. Plan Invers-Financ (1º,2º)'!AY70</f>
        <v>0</v>
      </c>
      <c r="N42" s="1563" t="str">
        <f t="shared" si="12"/>
        <v/>
      </c>
      <c r="O42" s="1562" t="str">
        <f>IF($M$42=0,"",IF(J42=0,"NS",(M42-J42)/ABS(J42)))</f>
        <v/>
      </c>
      <c r="P42" s="928">
        <f>('7. Plan Invers-Financ (1º,2º)'!BB41+'7. Plan Invers-Financ (1º,2º)'!BB42)-'7. Plan Invers-Financ (1º,2º)'!BB70</f>
        <v>0</v>
      </c>
      <c r="Q42" s="1563" t="str">
        <f t="shared" si="13"/>
        <v/>
      </c>
      <c r="R42" s="1562" t="str">
        <f>IF($P$42=0,"",IF(M42=0,"NS",(P42-M42)/ABS(M42)))</f>
        <v/>
      </c>
      <c r="S42" s="263"/>
      <c r="T42" s="794"/>
      <c r="V42" s="3063"/>
      <c r="X42" s="3815"/>
      <c r="Y42" s="3818"/>
      <c r="AA42" s="4038"/>
      <c r="AB42" s="4041"/>
      <c r="AC42" s="4038"/>
      <c r="AD42" s="4041"/>
    </row>
    <row r="43" spans="1:30" ht="16.5" hidden="1" customHeight="1">
      <c r="A43" s="1273" t="s">
        <v>591</v>
      </c>
      <c r="B43" s="940"/>
      <c r="C43" s="943" t="str">
        <f>IF(B$8&lt;&gt;0,B43/B$8,"")</f>
        <v/>
      </c>
      <c r="D43" s="928">
        <f>('6. P y G (Ej 1º,2º)'!O39)</f>
        <v>0</v>
      </c>
      <c r="E43" s="944" t="str">
        <f t="shared" si="10"/>
        <v/>
      </c>
      <c r="F43" s="927" t="str">
        <f>IF(B43=0,IF(Consolidación?="NO","",""),(D43-B43)/ABS(B43))</f>
        <v/>
      </c>
      <c r="G43" s="928">
        <f>('6. P y G (Ej 1º,2º)'!AF39)</f>
        <v>0</v>
      </c>
      <c r="H43" s="945" t="str">
        <f t="shared" si="1"/>
        <v/>
      </c>
      <c r="I43" s="946" t="str">
        <f>IF($G$43=0,"",IF(D43=0,"NS",(G43-D43)/ABS(D43)))</f>
        <v/>
      </c>
      <c r="J43" s="928">
        <f>G43*(1+L43)</f>
        <v>0</v>
      </c>
      <c r="K43" s="944" t="str">
        <f t="shared" si="11"/>
        <v/>
      </c>
      <c r="L43" s="1957">
        <v>-1</v>
      </c>
      <c r="M43" s="928">
        <f>J43*(1+O43)</f>
        <v>0</v>
      </c>
      <c r="N43" s="944" t="str">
        <f t="shared" si="12"/>
        <v/>
      </c>
      <c r="O43" s="1957">
        <v>-1</v>
      </c>
      <c r="P43" s="928">
        <f>M43*(1+R43)</f>
        <v>0</v>
      </c>
      <c r="Q43" s="944" t="str">
        <f t="shared" si="13"/>
        <v/>
      </c>
      <c r="R43" s="1957">
        <v>-1</v>
      </c>
      <c r="S43" s="729"/>
      <c r="T43" s="799"/>
      <c r="X43" s="3816"/>
      <c r="Y43" s="3819"/>
      <c r="AA43" s="4039"/>
      <c r="AB43" s="4042"/>
      <c r="AC43" s="4039"/>
      <c r="AD43" s="4042"/>
    </row>
    <row r="44" spans="1:30" s="271" customFormat="1" ht="16.5" customHeight="1">
      <c r="A44" s="3002" t="str">
        <f>'6. P y G (Ej 1º,2º)'!A40</f>
        <v>Resultado Antes de Impuestos (EBT) o (BAI)</v>
      </c>
      <c r="B44" s="2998" t="e">
        <f>(B41+B43)</f>
        <v>#REF!</v>
      </c>
      <c r="C44" s="2997" t="e">
        <f>IF(B44="error","ND",IF(B$8&lt;&gt;0,B44/B$8,""))</f>
        <v>#REF!</v>
      </c>
      <c r="D44" s="2998">
        <f>'6. P y G (Ej 1º,2º)'!O40</f>
        <v>0</v>
      </c>
      <c r="E44" s="2999" t="str">
        <f t="shared" si="10"/>
        <v/>
      </c>
      <c r="F44" s="3000" t="e">
        <f>IF(B44=0,IF(Consolidación?="NO","",""),(D44-B44)/ABS(B44))</f>
        <v>#REF!</v>
      </c>
      <c r="G44" s="2998">
        <f>'6. P y G (Ej 1º,2º)'!AF40</f>
        <v>0</v>
      </c>
      <c r="H44" s="2999" t="str">
        <f t="shared" si="1"/>
        <v/>
      </c>
      <c r="I44" s="3000" t="str">
        <f>IF($G$44=0,"",IF(D44=0,"NS",(G44-D44)/ABS(D44)))</f>
        <v/>
      </c>
      <c r="J44" s="2998">
        <f>J41+J42+J43</f>
        <v>0</v>
      </c>
      <c r="K44" s="2999" t="str">
        <f t="shared" si="11"/>
        <v/>
      </c>
      <c r="L44" s="3000" t="str">
        <f>IF($J$44=0,"",IF(G44=0,"NS",(J44-G44)/ABS(G44)))</f>
        <v/>
      </c>
      <c r="M44" s="2998">
        <f>M41+M42+M43</f>
        <v>0</v>
      </c>
      <c r="N44" s="2999" t="str">
        <f t="shared" si="12"/>
        <v/>
      </c>
      <c r="O44" s="3000" t="str">
        <f>IF($M$44=0,"",IF(J44=0,"NS",(M44-J44)/ABS(J44)))</f>
        <v/>
      </c>
      <c r="P44" s="2998">
        <f>P41+P42+P43</f>
        <v>0</v>
      </c>
      <c r="Q44" s="2999" t="str">
        <f t="shared" si="13"/>
        <v/>
      </c>
      <c r="R44" s="3000" t="str">
        <f>IF($P$44=0,"",IF(M44=0,"NS",(P44-M44)/ABS(M44)))</f>
        <v/>
      </c>
      <c r="S44" s="263"/>
      <c r="T44" s="794"/>
      <c r="V44" s="3063"/>
      <c r="X44"/>
      <c r="Y44"/>
    </row>
    <row r="45" spans="1:30" ht="16.5" customHeight="1" thickBot="1">
      <c r="A45" s="942" t="s">
        <v>188</v>
      </c>
      <c r="B45" s="933"/>
      <c r="C45" s="943" t="str">
        <f>IF(B$8&lt;&gt;0,B45/B$8," ")</f>
        <v xml:space="preserve"> </v>
      </c>
      <c r="D45" s="925">
        <f>'6. P y G (Ej 1º,2º)'!H43</f>
        <v>0</v>
      </c>
      <c r="E45" s="944" t="str">
        <f>IF(D$8&lt;&gt;0,D45/D$8," ")</f>
        <v xml:space="preserve"> </v>
      </c>
      <c r="F45" s="927" t="str">
        <f>IF(B45=0,IF(Consolidación?="NO","",""),(D45-B45)/ABS(B45))</f>
        <v/>
      </c>
      <c r="G45" s="925">
        <f>'6. P y G (Ej 1º,2º)'!$AB$43</f>
        <v>0</v>
      </c>
      <c r="H45" s="945" t="str">
        <f t="shared" si="1"/>
        <v/>
      </c>
      <c r="I45" s="946" t="str">
        <f>IF($G$45=0,"",IF(D45=0,"NS",(G45-D45)/ABS(D45)))</f>
        <v/>
      </c>
      <c r="J45" s="928">
        <f>IF(J44&gt;0,IF(J44&gt;120000,(J44-120000)*0.3+30000,J44*'1.Datos Básicos. Product-Serv'!B15),0)</f>
        <v>0</v>
      </c>
      <c r="K45" s="944" t="str">
        <f t="shared" si="11"/>
        <v/>
      </c>
      <c r="L45" s="927" t="str">
        <f>IF($J$45=0,"",IF(G45=0,"NS",(J45-G45)/ABS(G45)))</f>
        <v/>
      </c>
      <c r="M45" s="928">
        <f>IF(M44&gt;0,IF(M44&gt;120000,(M44-120000)*0.3+30000,M44*'1.Datos Básicos. Product-Serv'!B15),0)</f>
        <v>0</v>
      </c>
      <c r="N45" s="944" t="str">
        <f t="shared" si="12"/>
        <v/>
      </c>
      <c r="O45" s="927" t="str">
        <f>IF($M$45=0,"",IF(J45=0,"NS",(M45-J45)/ABS(J45)))</f>
        <v/>
      </c>
      <c r="P45" s="928">
        <f>IF(P44&gt;0,IF(P44&gt;120000,(P44-120000)*0.3+30000,P44*'1.Datos Básicos. Product-Serv'!B15),0)</f>
        <v>0</v>
      </c>
      <c r="Q45" s="944" t="str">
        <f t="shared" si="13"/>
        <v/>
      </c>
      <c r="R45" s="927" t="str">
        <f>IF($P$45=0,"",IF(M45=0,"NS",(P45-M45)/ABS(M45)))</f>
        <v/>
      </c>
      <c r="S45" s="729"/>
      <c r="T45" s="794"/>
      <c r="X45"/>
      <c r="Y45"/>
    </row>
    <row r="46" spans="1:30" s="271" customFormat="1" ht="17.25" thickBot="1">
      <c r="A46" s="3016" t="s">
        <v>118</v>
      </c>
      <c r="B46" s="3017" t="e">
        <f>(B44-B45)</f>
        <v>#REF!</v>
      </c>
      <c r="C46" s="3018" t="e">
        <f>IF(B46="error","ND",IF(B$8&lt;&gt;0,B46/B$8,""))</f>
        <v>#REF!</v>
      </c>
      <c r="D46" s="3017">
        <f>'6. P y G (Ej 1º,2º)'!L43</f>
        <v>0</v>
      </c>
      <c r="E46" s="3019" t="str">
        <f>IF(D$8&lt;&gt;0,D46/D$8,"")</f>
        <v/>
      </c>
      <c r="F46" s="3020" t="e">
        <f>IF(B46=0,IF(Consolidación?="NO","",""),(D46-B46)/ABS(B46))</f>
        <v>#REF!</v>
      </c>
      <c r="G46" s="3017">
        <f>'6. P y G (Ej 1º,2º)'!AF43</f>
        <v>0</v>
      </c>
      <c r="H46" s="3019" t="str">
        <f t="shared" si="1"/>
        <v/>
      </c>
      <c r="I46" s="3020" t="str">
        <f>IF($G$46=0,"",IF(D46=0,"NS",(G46-D46)/ABS(D46)))</f>
        <v/>
      </c>
      <c r="J46" s="3017">
        <f>J44-J45</f>
        <v>0</v>
      </c>
      <c r="K46" s="3019" t="str">
        <f t="shared" si="11"/>
        <v/>
      </c>
      <c r="L46" s="3020" t="str">
        <f>IF($J$46=0,"",IF(G46=0,"NS",(J46-G46)/ABS(G46)))</f>
        <v/>
      </c>
      <c r="M46" s="3017">
        <f>M44-M45</f>
        <v>0</v>
      </c>
      <c r="N46" s="3019" t="str">
        <f t="shared" si="12"/>
        <v/>
      </c>
      <c r="O46" s="3020" t="str">
        <f>IF($M$46=0,"",IF(J46=0,"NS",(M46-J46)/ABS(J46)))</f>
        <v/>
      </c>
      <c r="P46" s="3017">
        <f>P44-P45</f>
        <v>0</v>
      </c>
      <c r="Q46" s="3019" t="str">
        <f t="shared" si="13"/>
        <v/>
      </c>
      <c r="R46" s="3020" t="str">
        <f>IF($P$46=0,"",IF(M46=0,"NS",(P46-M46)/ABS(M46)))</f>
        <v/>
      </c>
      <c r="S46" s="263"/>
      <c r="T46" s="794"/>
      <c r="V46" s="3063"/>
      <c r="X46" s="3857">
        <f>'(0) 5. Resumen P y G (5 Ej.)'!J25</f>
        <v>0</v>
      </c>
      <c r="Y46" s="3859">
        <f>IF('(0) 5. Resumen P y G (5 Ej.)'!X9=0,0,X46/'(0) 5. Resumen P y G (5 Ej.)'!X9)</f>
        <v>0</v>
      </c>
      <c r="AA46" s="4028">
        <f>M25</f>
        <v>0</v>
      </c>
      <c r="AB46" s="4014">
        <f>IF(AA9=0,0,AA46/AA9)</f>
        <v>0</v>
      </c>
      <c r="AC46" s="4028">
        <f>P25</f>
        <v>0</v>
      </c>
      <c r="AD46" s="4014">
        <f>IF(AC9=0,0,AC46/AC9)</f>
        <v>0</v>
      </c>
    </row>
    <row r="47" spans="1:30" ht="17.25" hidden="1" customHeight="1" thickTop="1">
      <c r="A47" s="951" t="s">
        <v>410</v>
      </c>
      <c r="B47" s="952"/>
      <c r="C47" s="953"/>
      <c r="D47" s="954">
        <f>('3.Costes D.V. y Pagos (1º,2º)'!P25+'3.Costes D.V. y Pagos (1º,2º)'!P37)</f>
        <v>0</v>
      </c>
      <c r="E47" s="953"/>
      <c r="F47" s="955"/>
      <c r="G47" s="954">
        <f>('3.Costes D.V. y Pagos (1º,2º)'!AI25+'3.Costes D.V. y Pagos (1º,2º)'!AI37)</f>
        <v>0</v>
      </c>
      <c r="H47" s="956" t="str">
        <f t="shared" si="1"/>
        <v/>
      </c>
      <c r="I47" s="957" t="str">
        <f>IF($G$20=0,"",IF(D47=0,"NS",(G47-D47)/ABS(D47)))</f>
        <v/>
      </c>
      <c r="J47" s="958">
        <f>J17*(1+L47)</f>
        <v>0</v>
      </c>
      <c r="K47" s="956" t="str">
        <f t="shared" si="11"/>
        <v/>
      </c>
      <c r="L47" s="959">
        <v>0</v>
      </c>
      <c r="M47" s="958">
        <f>M17*(1+O47)</f>
        <v>0</v>
      </c>
      <c r="N47" s="956" t="str">
        <f t="shared" si="12"/>
        <v/>
      </c>
      <c r="O47" s="960">
        <v>0</v>
      </c>
      <c r="P47" s="958">
        <f>P17*(1+R47)</f>
        <v>0</v>
      </c>
      <c r="Q47" s="956" t="str">
        <f t="shared" si="13"/>
        <v/>
      </c>
      <c r="R47" s="960">
        <v>0</v>
      </c>
      <c r="S47" s="729"/>
      <c r="T47" s="794"/>
      <c r="X47" s="3858"/>
      <c r="Y47" s="3860"/>
      <c r="AA47" s="4058"/>
      <c r="AB47" s="4059"/>
      <c r="AC47" s="4058"/>
      <c r="AD47" s="4059"/>
    </row>
    <row r="48" spans="1:30" ht="17.25" customHeight="1" thickTop="1" thickBot="1">
      <c r="A48" s="961"/>
      <c r="B48" s="962"/>
      <c r="C48" s="963"/>
      <c r="D48" s="963"/>
      <c r="E48" s="963"/>
      <c r="F48" s="963"/>
      <c r="G48" s="963"/>
      <c r="H48" s="963"/>
      <c r="I48" s="964"/>
      <c r="J48" s="963"/>
      <c r="K48" s="963"/>
      <c r="L48" s="963"/>
      <c r="M48" s="963"/>
      <c r="N48" s="963"/>
      <c r="O48" s="963"/>
      <c r="P48" s="963"/>
      <c r="Q48" s="963"/>
      <c r="R48" s="963"/>
      <c r="S48" s="729"/>
      <c r="T48" s="794"/>
    </row>
    <row r="49" spans="1:32" ht="17.25" customHeight="1" thickTop="1" thickBot="1">
      <c r="A49" s="965" t="s">
        <v>277</v>
      </c>
      <c r="B49" s="966" t="e">
        <f>(('(0) 5. Resumen P y G (5 Ej.)'!B46+'(0) 5. Resumen P y G (5 Ej.)'!B36+#REF!))</f>
        <v>#REF!</v>
      </c>
      <c r="C49" s="967" t="str">
        <f>IF('(0) 5. Resumen P y G (5 Ej.)'!B8=0,"",IF((B49)&gt;0,('(0) 5. Resumen P y G (5 Ej.)'!B36+#REF!+'(0) 5. Resumen P y G (5 Ej.)'!B46)/'(0) 5. Resumen P y G (5 Ej.)'!B8,"NS"))</f>
        <v/>
      </c>
      <c r="D49" s="966">
        <f>(('(0) 5. Resumen P y G (5 Ej.)'!D46)+D36)</f>
        <v>0</v>
      </c>
      <c r="E49" s="4067" t="str">
        <f>IF('(0) 5. Resumen P y G (5 Ej.)'!D8=0,"",IF((D49)&gt;0,('(0) 5. Resumen P y G (5 Ej.)'!D36+'(0) 5. Resumen P y G (5 Ej.)'!D46)/'(0) 5. Resumen P y G (5 Ej.)'!D8,"NS"))</f>
        <v/>
      </c>
      <c r="F49" s="4068"/>
      <c r="G49" s="966">
        <f>(('(0) 5. Resumen P y G (5 Ej.)'!G46)+G36)</f>
        <v>0</v>
      </c>
      <c r="H49" s="4067" t="str">
        <f>IF('(0) 5. Resumen P y G (5 Ej.)'!G8=0,"",IF((G49)&gt;0,('(0) 5. Resumen P y G (5 Ej.)'!G36+'(0) 5. Resumen P y G (5 Ej.)'!G46)/'(0) 5. Resumen P y G (5 Ej.)'!G8,"NS"))</f>
        <v/>
      </c>
      <c r="I49" s="4068"/>
      <c r="J49" s="966">
        <f>(('(0) 5. Resumen P y G (5 Ej.)'!J46)+J36)</f>
        <v>0</v>
      </c>
      <c r="K49" s="4067" t="str">
        <f>IF('(0) 5. Resumen P y G (5 Ej.)'!J8=0,"",IF((J49)&gt;0,('(0) 5. Resumen P y G (5 Ej.)'!J36+'(0) 5. Resumen P y G (5 Ej.)'!J46)/'(0) 5. Resumen P y G (5 Ej.)'!J8,"NS"))</f>
        <v/>
      </c>
      <c r="L49" s="4068"/>
      <c r="M49" s="966">
        <f>(('(0) 5. Resumen P y G (5 Ej.)'!M46)+M36)</f>
        <v>0</v>
      </c>
      <c r="N49" s="4067" t="str">
        <f>IF('(0) 5. Resumen P y G (5 Ej.)'!M8=0,"",IF((M49)&gt;0,('(0) 5. Resumen P y G (5 Ej.)'!M36+'(0) 5. Resumen P y G (5 Ej.)'!M46)/'(0) 5. Resumen P y G (5 Ej.)'!M8,"NS"))</f>
        <v/>
      </c>
      <c r="O49" s="4068"/>
      <c r="P49" s="966">
        <f>(('(0) 5. Resumen P y G (5 Ej.)'!P46)+P36)</f>
        <v>0</v>
      </c>
      <c r="Q49" s="4067" t="str">
        <f>IF('(0) 5. Resumen P y G (5 Ej.)'!P8=0,"",IF((P49)&gt;0,('(0) 5. Resumen P y G (5 Ej.)'!P36+'(0) 5. Resumen P y G (5 Ej.)'!P46)/'(0) 5. Resumen P y G (5 Ej.)'!P8,"NS"))</f>
        <v/>
      </c>
      <c r="R49" s="4068"/>
      <c r="S49" s="729"/>
      <c r="T49" s="794"/>
    </row>
    <row r="50" spans="1:32" ht="8.25" customHeight="1" thickTop="1">
      <c r="A50" s="800"/>
      <c r="B50" s="877"/>
      <c r="C50" s="878"/>
      <c r="D50" s="877"/>
      <c r="E50" s="879"/>
      <c r="F50" s="880"/>
      <c r="G50" s="877"/>
      <c r="H50" s="879"/>
      <c r="I50" s="880"/>
      <c r="J50" s="877"/>
      <c r="K50" s="879"/>
      <c r="L50" s="880"/>
      <c r="M50" s="877"/>
      <c r="N50" s="879"/>
      <c r="O50" s="880"/>
      <c r="P50" s="877"/>
      <c r="Q50" s="879"/>
      <c r="R50" s="880"/>
      <c r="S50" s="729"/>
      <c r="T50" s="794"/>
    </row>
    <row r="51" spans="1:32" ht="18" customHeight="1">
      <c r="A51" s="729" t="s">
        <v>236</v>
      </c>
      <c r="B51" s="881"/>
      <c r="C51" s="881"/>
      <c r="D51" s="881"/>
      <c r="E51" s="881"/>
      <c r="F51" s="882"/>
      <c r="G51" s="881"/>
      <c r="H51" s="881"/>
      <c r="I51" s="882"/>
      <c r="J51" s="881"/>
      <c r="K51" s="881"/>
      <c r="L51" s="882"/>
      <c r="M51" s="881"/>
      <c r="N51" s="881"/>
      <c r="O51" s="882"/>
      <c r="P51" s="881"/>
      <c r="Q51" s="881"/>
      <c r="R51" s="800"/>
      <c r="S51" s="881"/>
      <c r="T51" s="871"/>
    </row>
    <row r="52" spans="1:32" ht="18" customHeight="1">
      <c r="A52" s="1468" t="s">
        <v>675</v>
      </c>
      <c r="B52" s="1469"/>
      <c r="C52" s="1469"/>
      <c r="D52" s="1470"/>
      <c r="E52" s="1471">
        <f>SUM(E19:E34)</f>
        <v>0</v>
      </c>
      <c r="F52" s="1472"/>
      <c r="G52" s="1469"/>
      <c r="H52" s="1471">
        <f>SUM(H19:H34)</f>
        <v>0</v>
      </c>
      <c r="I52" s="1471"/>
      <c r="J52" s="1471"/>
      <c r="K52" s="1471">
        <f>SUM(K19:K34)</f>
        <v>0</v>
      </c>
      <c r="L52" s="1471"/>
      <c r="M52" s="1471"/>
      <c r="N52" s="1471">
        <f>SUM(N19:N34)</f>
        <v>0</v>
      </c>
      <c r="O52" s="1471"/>
      <c r="P52" s="1471"/>
      <c r="Q52" s="1471">
        <f>SUM(Q19:Q34)</f>
        <v>0</v>
      </c>
      <c r="R52" s="1471"/>
      <c r="S52" s="881"/>
      <c r="T52" s="871"/>
    </row>
    <row r="53" spans="1:32" ht="18" customHeight="1">
      <c r="A53" s="729"/>
      <c r="B53" s="881"/>
      <c r="C53" s="881"/>
      <c r="D53" s="881"/>
      <c r="E53" s="881"/>
      <c r="F53" s="882"/>
      <c r="G53" s="881"/>
      <c r="H53" s="881"/>
      <c r="I53" s="882"/>
      <c r="J53" s="881"/>
      <c r="K53" s="881"/>
      <c r="L53" s="882"/>
      <c r="M53" s="881"/>
      <c r="N53" s="881"/>
      <c r="O53" s="882"/>
      <c r="P53" s="881"/>
      <c r="Q53" s="881"/>
      <c r="R53" s="800"/>
      <c r="S53" s="881"/>
      <c r="T53" s="871"/>
      <c r="AE53" s="271"/>
      <c r="AF53" s="271"/>
    </row>
    <row r="54" spans="1:32" ht="20.25" customHeight="1">
      <c r="A54" s="785"/>
      <c r="B54" s="881"/>
      <c r="C54" s="881"/>
      <c r="D54" s="883"/>
      <c r="E54" s="884"/>
      <c r="F54" s="882"/>
      <c r="G54" s="885"/>
      <c r="H54" s="884"/>
      <c r="I54" s="882"/>
      <c r="J54" s="311"/>
      <c r="K54" s="884"/>
      <c r="L54" s="882"/>
      <c r="M54" s="311"/>
      <c r="N54" s="884"/>
      <c r="O54" s="882"/>
      <c r="P54" s="311"/>
      <c r="Q54" s="884"/>
      <c r="R54" s="881"/>
      <c r="S54" s="881"/>
      <c r="T54" s="871"/>
    </row>
    <row r="55" spans="1:32" ht="20.25" customHeight="1">
      <c r="A55" s="785"/>
      <c r="B55" s="881"/>
      <c r="C55" s="881"/>
      <c r="D55" s="883"/>
      <c r="E55" s="884"/>
      <c r="F55" s="882"/>
      <c r="G55" s="885"/>
      <c r="H55" s="884"/>
      <c r="I55" s="882"/>
      <c r="J55" s="311"/>
      <c r="K55" s="884"/>
      <c r="L55" s="882"/>
      <c r="M55" s="311"/>
      <c r="N55" s="884"/>
      <c r="O55" s="882"/>
      <c r="P55" s="311"/>
      <c r="Q55" s="884"/>
      <c r="R55" s="881"/>
      <c r="S55" s="881"/>
      <c r="T55" s="871"/>
    </row>
    <row r="56" spans="1:32" ht="23.25" customHeight="1">
      <c r="A56" s="722" t="s">
        <v>315</v>
      </c>
      <c r="B56" s="556"/>
      <c r="C56" s="556"/>
      <c r="D56" s="729"/>
      <c r="E56" s="729"/>
      <c r="F56" s="729"/>
      <c r="G56" s="295"/>
      <c r="H56" s="729"/>
      <c r="I56" s="737"/>
      <c r="J56" s="737"/>
      <c r="K56" s="737"/>
      <c r="L56" s="737"/>
      <c r="M56" s="729"/>
      <c r="N56" s="729"/>
      <c r="O56" s="729"/>
      <c r="P56" s="886"/>
      <c r="Q56" s="729"/>
      <c r="R56" s="887"/>
      <c r="S56" s="737"/>
      <c r="T56" s="800"/>
      <c r="X56" s="876"/>
      <c r="Y56" s="876"/>
      <c r="Z56" s="876"/>
      <c r="AA56" s="876"/>
      <c r="AB56" s="876"/>
      <c r="AC56" s="876"/>
      <c r="AD56" s="876"/>
      <c r="AE56" s="876"/>
    </row>
    <row r="57" spans="1:32" ht="12" customHeight="1">
      <c r="A57" s="556"/>
      <c r="B57" s="556"/>
      <c r="C57" s="556"/>
      <c r="D57" s="729"/>
      <c r="E57" s="729"/>
      <c r="F57" s="729"/>
      <c r="G57" s="295"/>
      <c r="H57" s="729"/>
      <c r="I57" s="737"/>
      <c r="J57" s="737"/>
      <c r="K57" s="737"/>
      <c r="L57" s="737"/>
      <c r="M57" s="729"/>
      <c r="N57" s="729"/>
      <c r="O57" s="729"/>
      <c r="P57" s="886"/>
      <c r="Q57" s="729"/>
      <c r="R57" s="887"/>
      <c r="S57" s="737"/>
      <c r="T57" s="800"/>
      <c r="X57" s="875"/>
      <c r="Y57" s="875"/>
      <c r="Z57" s="875"/>
      <c r="AA57" s="875"/>
      <c r="AB57" s="875"/>
      <c r="AC57" s="875"/>
      <c r="AD57" s="875"/>
      <c r="AE57" s="876"/>
    </row>
    <row r="58" spans="1:32" ht="23.25" customHeight="1">
      <c r="A58" s="556"/>
      <c r="B58" s="556"/>
      <c r="C58" s="556"/>
      <c r="D58" s="2047" t="s">
        <v>860</v>
      </c>
      <c r="E58" s="729"/>
      <c r="F58" s="729"/>
      <c r="G58" s="295"/>
      <c r="H58" s="729"/>
      <c r="I58" s="737"/>
      <c r="J58" s="737"/>
      <c r="K58" s="737"/>
      <c r="L58" s="737"/>
      <c r="M58" s="729"/>
      <c r="N58" s="729"/>
      <c r="O58" s="729"/>
      <c r="P58" s="886"/>
      <c r="Q58" s="729"/>
      <c r="R58" s="887"/>
      <c r="S58" s="737"/>
      <c r="T58" s="800"/>
      <c r="X58" s="876"/>
      <c r="Y58" s="876"/>
      <c r="Z58" s="876"/>
      <c r="AA58" s="876"/>
      <c r="AB58" s="876"/>
      <c r="AC58" s="876"/>
      <c r="AD58" s="876"/>
      <c r="AE58" s="876"/>
    </row>
    <row r="59" spans="1:32" ht="22.5" customHeight="1" thickBot="1">
      <c r="A59" s="556"/>
      <c r="B59" s="556"/>
      <c r="C59" s="556"/>
      <c r="D59" s="888"/>
      <c r="E59" s="888"/>
      <c r="F59" s="737"/>
      <c r="G59" s="889"/>
      <c r="H59" s="729"/>
      <c r="I59" s="737"/>
      <c r="J59" s="888"/>
      <c r="K59" s="737"/>
      <c r="L59" s="737"/>
      <c r="M59" s="890"/>
      <c r="N59" s="729"/>
      <c r="O59" s="729"/>
      <c r="P59" s="891"/>
      <c r="Q59" s="729"/>
      <c r="R59" s="887"/>
      <c r="S59" s="737"/>
      <c r="T59" s="800"/>
    </row>
    <row r="60" spans="1:32" ht="57.75" customHeight="1" thickTop="1" thickBot="1">
      <c r="A60" s="722"/>
      <c r="B60" s="722"/>
      <c r="C60" s="722"/>
      <c r="D60" s="4069" t="str">
        <f>'1.Datos Básicos. Product-Serv'!B11&amp;": Propuesta Aplicación Resultado del 1º ej. "&amp;'1.Datos Básicos. Product-Serv'!R8&amp;" = "&amp;ROUND(SUM('(0) 4. Resumen Balances (5 Ej.)'!B23:B25),1)</f>
        <v>0: Propuesta Aplicación Resultado del 1º ej. -1 = 0</v>
      </c>
      <c r="E60" s="4070"/>
      <c r="F60" s="4071"/>
      <c r="G60" s="4069" t="str">
        <f>'1.Datos Básicos. Product-Serv'!E11&amp;": Propuesta Aplicación Resultado del 2º ej. "&amp;'1.Datos Básicos. Product-Serv'!B11&amp;" = "&amp;ROUND(SUM('(0) 4. Resumen Balances (5 Ej.)'!D23:D25),1)</f>
        <v>1: Propuesta Aplicación Resultado del 2º ej. 0 = 0</v>
      </c>
      <c r="H60" s="4070"/>
      <c r="I60" s="4094"/>
      <c r="J60" s="4069" t="str">
        <f>'1.Datos Básicos. Product-Serv'!F11&amp;": Propuesta Aplicación Resultado del 3º ej. "&amp;'1.Datos Básicos. Product-Serv'!E11&amp;" = "&amp;ROUND(SUM('(0) 4. Resumen Balances (5 Ej.)'!F23:F25),1)</f>
        <v>2: Propuesta Aplicación Resultado del 3º ej. 1 = 0</v>
      </c>
      <c r="K60" s="4085"/>
      <c r="L60" s="4086"/>
      <c r="M60" s="4069" t="str">
        <f>'1.Datos Básicos. Product-Serv'!G11&amp;": Propuesta Aplicación Resultado del 4º ej. "&amp;'1.Datos Básicos. Product-Serv'!F11&amp;" = "&amp;ROUND(SUM('(0) 4. Resumen Balances (5 Ej.)'!H23:H25),1)</f>
        <v>3: Propuesta Aplicación Resultado del 4º ej. 2 = 0</v>
      </c>
      <c r="N60" s="4085"/>
      <c r="O60" s="4086"/>
      <c r="P60" s="4069" t="str">
        <f>'1.Datos Básicos. Product-Serv'!H11&amp;": Propuesta Aplicación Resultado del 5º ej. "&amp;'1.Datos Básicos. Product-Serv'!G11&amp;" = "&amp;ROUND(SUM('(0) 4. Resumen Balances (5 Ej.)'!J23:J25),1)</f>
        <v>4: Propuesta Aplicación Resultado del 5º ej. 3 = 0</v>
      </c>
      <c r="Q60" s="4085"/>
      <c r="R60" s="4086"/>
      <c r="S60" s="892"/>
      <c r="T60" s="893"/>
    </row>
    <row r="61" spans="1:32" ht="42" customHeight="1" thickTop="1" thickBot="1">
      <c r="A61" s="894" t="s">
        <v>38</v>
      </c>
      <c r="B61" s="895"/>
      <c r="C61" s="896"/>
      <c r="D61" s="897" t="s">
        <v>186</v>
      </c>
      <c r="E61" s="4050" t="s">
        <v>125</v>
      </c>
      <c r="F61" s="4077"/>
      <c r="G61" s="897" t="s">
        <v>186</v>
      </c>
      <c r="H61" s="4050" t="s">
        <v>125</v>
      </c>
      <c r="I61" s="4087"/>
      <c r="J61" s="898" t="s">
        <v>186</v>
      </c>
      <c r="K61" s="4050" t="s">
        <v>125</v>
      </c>
      <c r="L61" s="4095"/>
      <c r="M61" s="898" t="s">
        <v>186</v>
      </c>
      <c r="N61" s="4050" t="s">
        <v>125</v>
      </c>
      <c r="O61" s="4051"/>
      <c r="P61" s="898" t="s">
        <v>186</v>
      </c>
      <c r="Q61" s="4050" t="s">
        <v>125</v>
      </c>
      <c r="R61" s="4051"/>
      <c r="S61" s="899"/>
      <c r="T61" s="1946"/>
    </row>
    <row r="62" spans="1:32" ht="19.5" customHeight="1">
      <c r="A62" s="4073" t="s">
        <v>187</v>
      </c>
      <c r="B62" s="4074"/>
      <c r="C62" s="487"/>
      <c r="D62" s="900"/>
      <c r="E62" s="4080">
        <f>IF(('(0) 1b. Pasivos de Partida'!$B$15+'(0) 1b. Pasivos de Partida'!$B$14)&lt;0,0,('(0) 1b. Pasivos de Partida'!$B$15+'(0) 1b. Pasivos de Partida'!$B$14)*D62)</f>
        <v>0</v>
      </c>
      <c r="F62" s="4081"/>
      <c r="G62" s="3036"/>
      <c r="H62" s="4048">
        <f>IF(($D$46+'(0) 4. Resumen Balances (5 Ej.)'!$D$24)&lt;0,0,((D46+'(0) 4. Resumen Balances (5 Ej.)'!$D$24)*G62))</f>
        <v>0</v>
      </c>
      <c r="I62" s="4049"/>
      <c r="J62" s="3040"/>
      <c r="K62" s="4048">
        <f>IF(($G$46+'(0) 4. Resumen Balances (5 Ej.)'!$F$24)&lt;0,0,(($G$46+'(0) 4. Resumen Balances (5 Ej.)'!$F$24)*J62))</f>
        <v>0</v>
      </c>
      <c r="L62" s="4049"/>
      <c r="M62" s="3040"/>
      <c r="N62" s="4052">
        <f>IF(($J$46+'(0) 4. Resumen Balances (5 Ej.)'!$H$24)&lt;0,0,(($J$46+'(0) 4. Resumen Balances (5 Ej.)'!$H$24)*M62))</f>
        <v>0</v>
      </c>
      <c r="O62" s="4053"/>
      <c r="P62" s="3040"/>
      <c r="Q62" s="4052">
        <f>IF(($M$46+'(0) 4. Resumen Balances (5 Ej.)'!$J$24)&lt;0,0,(($M$46+'(0) 4. Resumen Balances (5 Ej.)'!$J$24)*P62))</f>
        <v>0</v>
      </c>
      <c r="R62" s="4053"/>
      <c r="S62" s="901"/>
      <c r="T62" s="1945"/>
    </row>
    <row r="63" spans="1:32" ht="18" customHeight="1">
      <c r="A63" s="4075" t="s">
        <v>196</v>
      </c>
      <c r="B63" s="4076"/>
      <c r="C63" s="487"/>
      <c r="D63" s="902"/>
      <c r="E63" s="4056">
        <f>IF(('(0) 1b. Pasivos de Partida'!$B$15+'(0) 1b. Pasivos de Partida'!$B$14)&lt;0,0,('(0) 1b. Pasivos de Partida'!$B$15+'(0) 1b. Pasivos de Partida'!$B$14)*D63)</f>
        <v>0</v>
      </c>
      <c r="F63" s="4072"/>
      <c r="G63" s="3037"/>
      <c r="H63" s="4056">
        <f>IF(($D$46+'(0) 4. Resumen Balances (5 Ej.)'!$D$24)&lt;0,0,((D46+'(0) 4. Resumen Balances (5 Ej.)'!$D$24)*G63))</f>
        <v>0</v>
      </c>
      <c r="I63" s="4057"/>
      <c r="J63" s="3041"/>
      <c r="K63" s="4056">
        <f>IF(($G$46+'(0) 4. Resumen Balances (5 Ej.)'!$F$24)&lt;0,0,(($G$46+'(0) 4. Resumen Balances (5 Ej.)'!$F$24)*J63))</f>
        <v>0</v>
      </c>
      <c r="L63" s="4057"/>
      <c r="M63" s="3041"/>
      <c r="N63" s="4056">
        <f>IF(($J$46+'(0) 4. Resumen Balances (5 Ej.)'!$H$24)&lt;0,0,(($J$46+'(0) 4. Resumen Balances (5 Ej.)'!$H$24)*M63))</f>
        <v>0</v>
      </c>
      <c r="O63" s="4057"/>
      <c r="P63" s="3041"/>
      <c r="Q63" s="4056">
        <f>IF(($M$46+'(0) 4. Resumen Balances (5 Ej.)'!$J$24)&lt;0,0,(($M$46+'(0) 4. Resumen Balances (5 Ej.)'!$J$24)*P63))</f>
        <v>0</v>
      </c>
      <c r="R63" s="4057"/>
      <c r="S63" s="901"/>
      <c r="T63" s="1945"/>
    </row>
    <row r="64" spans="1:32" ht="20.25" hidden="1" customHeight="1">
      <c r="A64" s="1231" t="s">
        <v>244</v>
      </c>
      <c r="B64" s="903"/>
      <c r="C64" s="903"/>
      <c r="D64" s="904"/>
      <c r="E64" s="4054">
        <f>IF(('(0) 1b. Pasivos de Partida'!$B$15+'(0) 1b. Pasivos de Partida'!$B$14)&lt;0,0,('(0) 1b. Pasivos de Partida'!$B$15+'(0) 1b. Pasivos de Partida'!$B$14)*D64)</f>
        <v>0</v>
      </c>
      <c r="F64" s="4088"/>
      <c r="G64" s="3038"/>
      <c r="H64" s="4054">
        <f>IF(($D$46+'(0) 4. Resumen Balances (5 Ej.)'!$D$24)&lt;0,0,((D46+'(0) 4. Resumen Balances (5 Ej.)'!$D$24)*G64))</f>
        <v>0</v>
      </c>
      <c r="I64" s="4055"/>
      <c r="J64" s="3042"/>
      <c r="K64" s="4054">
        <f>IF(($G$46+'(0) 4. Resumen Balances (5 Ej.)'!$F$24)&lt;0,0,(($G$46+'(0) 4. Resumen Balances (5 Ej.)'!$F$24)*J64))</f>
        <v>0</v>
      </c>
      <c r="L64" s="4055"/>
      <c r="M64" s="3042"/>
      <c r="N64" s="4054">
        <f>IF(($J$46+'(0) 4. Resumen Balances (5 Ej.)'!$H$24)&lt;0,0,(($J$46+'(0) 4. Resumen Balances (5 Ej.)'!$H$24)*M64))</f>
        <v>0</v>
      </c>
      <c r="O64" s="4055"/>
      <c r="P64" s="3042"/>
      <c r="Q64" s="4054">
        <f>IF(($M$46+'(0) 4. Resumen Balances (5 Ej.)'!$J$24)&lt;0,0,(($M$46+'(0) 4. Resumen Balances (5 Ej.)'!$J$24)*P64))</f>
        <v>0</v>
      </c>
      <c r="R64" s="4055"/>
      <c r="S64" s="901"/>
      <c r="T64" s="1945"/>
    </row>
    <row r="65" spans="1:32" ht="36" customHeight="1" thickBot="1">
      <c r="A65" s="4075" t="s">
        <v>300</v>
      </c>
      <c r="B65" s="4076"/>
      <c r="C65" s="903"/>
      <c r="D65" s="905"/>
      <c r="E65" s="4062">
        <f>IF(('(0) 1b. Pasivos de Partida'!$B$15+'(0) 1b. Pasivos de Partida'!$B$14)&lt;0,0,('(0) 1b. Pasivos de Partida'!$B$15+'(0) 1b. Pasivos de Partida'!$B$14)*D65)</f>
        <v>0</v>
      </c>
      <c r="F65" s="4084"/>
      <c r="G65" s="3039"/>
      <c r="H65" s="4062">
        <f>IF(($D$46+'(0) 4. Resumen Balances (5 Ej.)'!$D$24)&lt;0,0,((D46+'(0) 4. Resumen Balances (5 Ej.)'!$D$24)*G65))</f>
        <v>0</v>
      </c>
      <c r="I65" s="4063"/>
      <c r="J65" s="3043"/>
      <c r="K65" s="4062">
        <f>IF(($G$46+'(0) 4. Resumen Balances (5 Ej.)'!$F$24)&lt;0,0,(($G$46+'(0) 4. Resumen Balances (5 Ej.)'!$F$24)*J65))</f>
        <v>0</v>
      </c>
      <c r="L65" s="4063"/>
      <c r="M65" s="3043"/>
      <c r="N65" s="4062">
        <f>IF(($J$46+'(0) 4. Resumen Balances (5 Ej.)'!$H$24)&lt;0,0,(($J$46+'(0) 4. Resumen Balances (5 Ej.)'!$H$24)*M65))</f>
        <v>0</v>
      </c>
      <c r="O65" s="4063"/>
      <c r="P65" s="3043"/>
      <c r="Q65" s="4062">
        <f>IF(($M$46+'(0) 4. Resumen Balances (5 Ej.)'!$J$24)&lt;0,0,(($M$46+'(0) 4. Resumen Balances (5 Ej.)'!$J$24)*P65))</f>
        <v>0</v>
      </c>
      <c r="R65" s="4063"/>
      <c r="S65" s="901"/>
      <c r="T65" s="1945"/>
      <c r="U65" s="875"/>
      <c r="V65" s="3063"/>
      <c r="W65" s="271"/>
      <c r="X65" s="271"/>
      <c r="Y65" s="271"/>
      <c r="Z65" s="271"/>
      <c r="AA65" s="271"/>
      <c r="AB65" s="271"/>
      <c r="AC65" s="271"/>
      <c r="AD65" s="271"/>
    </row>
    <row r="66" spans="1:32" ht="19.5" hidden="1" customHeight="1" thickBot="1">
      <c r="A66" s="4092" t="s">
        <v>280</v>
      </c>
      <c r="B66" s="4093"/>
      <c r="C66" s="903"/>
      <c r="D66" s="906"/>
      <c r="E66" s="4078">
        <f>IF(('(0) 1b. Pasivos de Partida'!$B$15+'(0) 1b. Pasivos de Partida'!$B$14)&lt;0,0,('(0) 1b. Pasivos de Partida'!$B$15+'(0) 1b. Pasivos de Partida'!$B$14)*D66)</f>
        <v>0</v>
      </c>
      <c r="F66" s="4079"/>
      <c r="G66" s="907">
        <v>0</v>
      </c>
      <c r="H66" s="4060">
        <f>IF(($D$46+'(0) 4. Resumen Balances (5 Ej.)'!$D$24)&lt;0,0,((D46+'(0) 4. Resumen Balances (5 Ej.)'!$D$24)*G66))</f>
        <v>0</v>
      </c>
      <c r="I66" s="4061"/>
      <c r="J66" s="908">
        <v>0</v>
      </c>
      <c r="K66" s="4060">
        <f>IF(($G$46+'(0) 4. Resumen Balances (5 Ej.)'!$F$24)&lt;0,0,(($G$46+'(0) 4. Resumen Balances (5 Ej.)'!$F$24)*J66))</f>
        <v>0</v>
      </c>
      <c r="L66" s="4061"/>
      <c r="M66" s="908">
        <v>0</v>
      </c>
      <c r="N66" s="4060">
        <f>IF(($J$46+'(0) 4. Resumen Balances (5 Ej.)'!$H$24)&lt;0,0,(($J$46+'(0) 4. Resumen Balances (5 Ej.)'!$H$24)*M66))</f>
        <v>0</v>
      </c>
      <c r="O66" s="4061"/>
      <c r="P66" s="908">
        <v>0</v>
      </c>
      <c r="Q66" s="4060">
        <f>IF(($M$46+'(0) 4. Resumen Balances (5 Ej.)'!$J$24)&lt;0,0,(($M$46+'(0) 4. Resumen Balances (5 Ej.)'!$J$24)*P66))</f>
        <v>0</v>
      </c>
      <c r="R66" s="4061"/>
      <c r="S66" s="901"/>
      <c r="T66" s="1945"/>
      <c r="U66" s="876"/>
    </row>
    <row r="67" spans="1:32" ht="18.75" customHeight="1" thickBot="1">
      <c r="A67" s="4082" t="s">
        <v>150</v>
      </c>
      <c r="B67" s="4083"/>
      <c r="C67" s="909"/>
      <c r="D67" s="910">
        <f>SUM(D62:D66)</f>
        <v>0</v>
      </c>
      <c r="E67" s="4046">
        <f>SUM(E62:E66)</f>
        <v>0</v>
      </c>
      <c r="F67" s="4089"/>
      <c r="G67" s="910">
        <f>SUM(G62:G66)</f>
        <v>0</v>
      </c>
      <c r="H67" s="4090">
        <f>SUM(H62:H66)</f>
        <v>0</v>
      </c>
      <c r="I67" s="4091"/>
      <c r="J67" s="910">
        <f>SUM(J62:J66)</f>
        <v>0</v>
      </c>
      <c r="K67" s="4046">
        <f>SUM(K62:K66)</f>
        <v>0</v>
      </c>
      <c r="L67" s="4047"/>
      <c r="M67" s="910">
        <f>SUM(M62:M66)</f>
        <v>0</v>
      </c>
      <c r="N67" s="4046">
        <f>SUM(N62:N66)</f>
        <v>0</v>
      </c>
      <c r="O67" s="4047"/>
      <c r="P67" s="910">
        <f>SUM(P62:P66)</f>
        <v>0</v>
      </c>
      <c r="Q67" s="4046">
        <f>SUM(Q62:Q66)</f>
        <v>0</v>
      </c>
      <c r="R67" s="4047"/>
      <c r="S67" s="901"/>
      <c r="T67" s="1945"/>
      <c r="U67" s="875"/>
      <c r="V67" s="3063"/>
      <c r="W67" s="271"/>
      <c r="X67" s="271"/>
      <c r="Y67" s="271"/>
      <c r="Z67" s="271"/>
      <c r="AA67" s="271"/>
      <c r="AB67" s="271"/>
      <c r="AC67" s="271"/>
      <c r="AD67" s="271"/>
    </row>
    <row r="68" spans="1:32" ht="10.5" customHeight="1" thickTop="1">
      <c r="A68" s="903"/>
      <c r="B68" s="903"/>
      <c r="C68" s="903"/>
      <c r="D68" s="911"/>
      <c r="E68" s="912"/>
      <c r="F68" s="913"/>
      <c r="G68" s="911"/>
      <c r="H68" s="914"/>
      <c r="I68" s="915"/>
      <c r="J68" s="911"/>
      <c r="K68" s="912"/>
      <c r="L68" s="916"/>
      <c r="M68" s="911"/>
      <c r="N68" s="912"/>
      <c r="O68" s="916"/>
      <c r="P68" s="911"/>
      <c r="Q68" s="912"/>
      <c r="R68" s="916"/>
      <c r="S68" s="901"/>
      <c r="T68" s="1945"/>
      <c r="U68" s="876"/>
    </row>
    <row r="69" spans="1:32" ht="10.5" hidden="1" customHeight="1">
      <c r="A69" s="903"/>
      <c r="B69" s="903"/>
      <c r="C69" s="903"/>
      <c r="D69" s="911"/>
      <c r="E69" s="912">
        <f>'(0) 4. Resumen Balances (5 Ej.)'!D18</f>
        <v>0</v>
      </c>
      <c r="F69" s="913"/>
      <c r="G69" s="911"/>
      <c r="H69" s="914"/>
      <c r="I69" s="915">
        <f>'(0) 4. Resumen Balances (5 Ej.)'!F18</f>
        <v>0</v>
      </c>
      <c r="J69" s="911"/>
      <c r="K69" s="912"/>
      <c r="L69" s="916">
        <f>'(0) 4. Resumen Balances (5 Ej.)'!H18</f>
        <v>0</v>
      </c>
      <c r="M69" s="911"/>
      <c r="N69" s="912"/>
      <c r="O69" s="916">
        <f>'(0) 4. Resumen Balances (5 Ej.)'!J18</f>
        <v>0</v>
      </c>
      <c r="P69" s="911"/>
      <c r="Q69" s="912"/>
      <c r="R69" s="916">
        <f>'(0) 4. Resumen Balances (5 Ej.)'!L18</f>
        <v>0</v>
      </c>
      <c r="S69" s="901"/>
      <c r="T69" s="1945"/>
    </row>
    <row r="70" spans="1:32" ht="12.75" customHeight="1" thickBot="1">
      <c r="A70" s="729"/>
      <c r="B70" s="729"/>
      <c r="C70" s="729"/>
      <c r="D70" s="917"/>
      <c r="E70" s="810"/>
      <c r="F70" s="737"/>
      <c r="G70" s="918"/>
      <c r="H70" s="729"/>
      <c r="I70" s="729"/>
      <c r="J70" s="737"/>
      <c r="K70" s="729"/>
      <c r="L70" s="729"/>
      <c r="M70" s="737"/>
      <c r="N70" s="729"/>
      <c r="O70" s="729"/>
      <c r="P70" s="882"/>
      <c r="Q70" s="882"/>
      <c r="R70" s="881"/>
      <c r="S70" s="871"/>
      <c r="T70" s="871"/>
    </row>
    <row r="71" spans="1:32" ht="16.5" thickBot="1">
      <c r="A71" s="4064" t="s">
        <v>149</v>
      </c>
      <c r="B71" s="4065"/>
      <c r="C71" s="4066"/>
      <c r="D71" s="3070">
        <v>0.19</v>
      </c>
      <c r="E71" s="901"/>
      <c r="F71" s="729"/>
      <c r="H71" s="729"/>
      <c r="I71" s="919"/>
      <c r="J71" s="729"/>
      <c r="K71" s="919"/>
      <c r="L71" s="729"/>
      <c r="M71" s="729"/>
      <c r="N71" s="919"/>
      <c r="O71" s="729"/>
      <c r="P71" s="729"/>
      <c r="Q71" s="919"/>
      <c r="R71" s="729"/>
      <c r="S71" s="737"/>
      <c r="T71" s="737"/>
    </row>
    <row r="72" spans="1:32">
      <c r="A72" s="729"/>
      <c r="B72" s="729"/>
      <c r="C72" s="729"/>
      <c r="D72" s="729"/>
      <c r="E72" s="729"/>
      <c r="F72" s="729"/>
      <c r="G72" s="295"/>
      <c r="H72" s="729"/>
      <c r="I72" s="729"/>
      <c r="J72" s="729"/>
      <c r="K72" s="729"/>
      <c r="L72" s="729"/>
      <c r="M72" s="729"/>
      <c r="N72" s="729"/>
      <c r="O72" s="729"/>
      <c r="P72" s="729"/>
      <c r="Q72" s="729"/>
      <c r="R72" s="729"/>
      <c r="S72" s="729"/>
      <c r="T72" s="729"/>
    </row>
    <row r="73" spans="1:32">
      <c r="A73" s="729"/>
      <c r="B73" s="729"/>
      <c r="C73" s="729"/>
      <c r="D73" s="729"/>
      <c r="E73" s="729"/>
      <c r="F73" s="295"/>
      <c r="G73" s="295"/>
      <c r="H73" s="729"/>
      <c r="I73" s="729"/>
      <c r="J73" s="729"/>
      <c r="K73" s="729"/>
      <c r="L73" s="729"/>
      <c r="M73" s="729"/>
      <c r="N73" s="729"/>
      <c r="O73" s="729"/>
      <c r="P73" s="729"/>
      <c r="Q73" s="729"/>
      <c r="R73" s="729"/>
      <c r="S73" s="729"/>
    </row>
    <row r="74" spans="1:32" ht="16.5">
      <c r="A74" s="729"/>
      <c r="B74" s="729"/>
      <c r="C74" s="729"/>
      <c r="D74" s="729"/>
      <c r="E74" s="729"/>
      <c r="F74" s="729"/>
      <c r="G74" s="729"/>
      <c r="H74" s="729"/>
      <c r="I74" s="729"/>
      <c r="J74" s="729"/>
      <c r="K74" s="729"/>
      <c r="L74" s="729"/>
      <c r="M74" s="729"/>
      <c r="N74" s="729"/>
      <c r="O74" s="729"/>
      <c r="P74" s="729"/>
      <c r="Q74" s="729"/>
      <c r="R74" s="729"/>
      <c r="S74" s="729"/>
      <c r="T74" s="729"/>
      <c r="AE74" s="271"/>
      <c r="AF74" s="271"/>
    </row>
    <row r="75" spans="1:32" ht="16.5">
      <c r="A75" s="729"/>
      <c r="B75" s="729"/>
      <c r="C75" s="729"/>
      <c r="D75" s="729"/>
      <c r="E75" s="729"/>
      <c r="F75" s="729"/>
      <c r="G75" s="729"/>
      <c r="H75" s="729"/>
      <c r="I75" s="729"/>
      <c r="J75" s="729"/>
      <c r="K75" s="729"/>
      <c r="L75" s="729"/>
      <c r="M75" s="729"/>
      <c r="N75" s="729"/>
      <c r="O75" s="729"/>
      <c r="P75" s="729"/>
      <c r="Q75" s="729"/>
      <c r="R75" s="729"/>
      <c r="S75" s="729"/>
      <c r="T75" s="729"/>
      <c r="AE75" s="271"/>
      <c r="AF75" s="271"/>
    </row>
    <row r="76" spans="1:32" ht="16.5">
      <c r="A76" s="729"/>
      <c r="B76" s="729"/>
      <c r="C76" s="729"/>
      <c r="D76" s="729"/>
      <c r="E76" s="729"/>
      <c r="F76" s="729"/>
      <c r="G76" s="729"/>
      <c r="H76" s="729"/>
      <c r="I76" s="729"/>
      <c r="J76" s="729"/>
      <c r="K76" s="729"/>
      <c r="L76" s="729"/>
      <c r="M76" s="729"/>
      <c r="N76" s="729"/>
      <c r="O76" s="729"/>
      <c r="P76" s="729"/>
      <c r="Q76" s="729"/>
      <c r="R76" s="729"/>
      <c r="S76" s="729"/>
      <c r="T76" s="729"/>
      <c r="AE76" s="271"/>
      <c r="AF76" s="271"/>
    </row>
    <row r="77" spans="1:32">
      <c r="A77" s="729"/>
      <c r="B77" s="729"/>
      <c r="C77" s="729"/>
      <c r="D77" s="729"/>
      <c r="E77" s="729"/>
      <c r="F77" s="729"/>
      <c r="H77" s="729"/>
      <c r="I77" s="729"/>
      <c r="J77" s="729"/>
      <c r="K77" s="729"/>
      <c r="L77" s="729"/>
      <c r="M77" s="729"/>
      <c r="N77" s="729"/>
      <c r="O77" s="729"/>
      <c r="P77" s="729"/>
      <c r="Q77" s="729"/>
      <c r="R77" s="729"/>
      <c r="S77" s="729"/>
      <c r="T77" s="729"/>
    </row>
    <row r="78" spans="1:32" ht="16.5">
      <c r="AE78" s="271"/>
      <c r="AF78" s="271"/>
    </row>
    <row r="80" spans="1:32" ht="16.5">
      <c r="AE80" s="271"/>
      <c r="AF80" s="271"/>
    </row>
  </sheetData>
  <sheetProtection formatColumns="0" formatRows="0"/>
  <mergeCells count="159">
    <mergeCell ref="Y13:Y14"/>
    <mergeCell ref="Y15:Y16"/>
    <mergeCell ref="Y17:Y18"/>
    <mergeCell ref="Y19:Y20"/>
    <mergeCell ref="X17:X18"/>
    <mergeCell ref="X19:X20"/>
    <mergeCell ref="X13:X14"/>
    <mergeCell ref="X15:X16"/>
    <mergeCell ref="X7:Y7"/>
    <mergeCell ref="X9:X10"/>
    <mergeCell ref="X11:X12"/>
    <mergeCell ref="X5:AD5"/>
    <mergeCell ref="X46:X47"/>
    <mergeCell ref="Y46:Y47"/>
    <mergeCell ref="X31:X32"/>
    <mergeCell ref="Y31:Y32"/>
    <mergeCell ref="Y33:Y34"/>
    <mergeCell ref="Y35:Y36"/>
    <mergeCell ref="X37:X38"/>
    <mergeCell ref="Y37:Y38"/>
    <mergeCell ref="X39:X40"/>
    <mergeCell ref="Y39:Y40"/>
    <mergeCell ref="X41:X43"/>
    <mergeCell ref="Y41:Y43"/>
    <mergeCell ref="X33:X34"/>
    <mergeCell ref="X35:X36"/>
    <mergeCell ref="Y9:Y10"/>
    <mergeCell ref="Y11:Y12"/>
    <mergeCell ref="AB21:AB22"/>
    <mergeCell ref="AA41:AA43"/>
    <mergeCell ref="AB41:AB43"/>
    <mergeCell ref="AA33:AA34"/>
    <mergeCell ref="AD13:AD14"/>
    <mergeCell ref="AC15:AC16"/>
    <mergeCell ref="AD15:AD16"/>
    <mergeCell ref="A66:B66"/>
    <mergeCell ref="G60:I60"/>
    <mergeCell ref="K61:L61"/>
    <mergeCell ref="Y21:Y22"/>
    <mergeCell ref="Y23:Y24"/>
    <mergeCell ref="Y25:Y26"/>
    <mergeCell ref="Y27:Y28"/>
    <mergeCell ref="Y29:Y30"/>
    <mergeCell ref="H62:I62"/>
    <mergeCell ref="K66:L66"/>
    <mergeCell ref="P60:R60"/>
    <mergeCell ref="Q49:R49"/>
    <mergeCell ref="X29:X30"/>
    <mergeCell ref="X25:X26"/>
    <mergeCell ref="X27:X28"/>
    <mergeCell ref="X21:X22"/>
    <mergeCell ref="X23:X24"/>
    <mergeCell ref="M60:O60"/>
    <mergeCell ref="N49:O49"/>
    <mergeCell ref="A71:C71"/>
    <mergeCell ref="K49:L49"/>
    <mergeCell ref="D60:F60"/>
    <mergeCell ref="H64:I64"/>
    <mergeCell ref="H63:I63"/>
    <mergeCell ref="E63:F63"/>
    <mergeCell ref="E49:F49"/>
    <mergeCell ref="H49:I49"/>
    <mergeCell ref="A62:B62"/>
    <mergeCell ref="A63:B63"/>
    <mergeCell ref="E61:F61"/>
    <mergeCell ref="E66:F66"/>
    <mergeCell ref="H66:I66"/>
    <mergeCell ref="E62:F62"/>
    <mergeCell ref="A67:B67"/>
    <mergeCell ref="E65:F65"/>
    <mergeCell ref="J60:L60"/>
    <mergeCell ref="H61:I61"/>
    <mergeCell ref="K67:L67"/>
    <mergeCell ref="H65:I65"/>
    <mergeCell ref="E64:F64"/>
    <mergeCell ref="E67:F67"/>
    <mergeCell ref="H67:I67"/>
    <mergeCell ref="A65:B65"/>
    <mergeCell ref="N67:O67"/>
    <mergeCell ref="K62:L62"/>
    <mergeCell ref="Q67:R67"/>
    <mergeCell ref="N61:O61"/>
    <mergeCell ref="N62:O62"/>
    <mergeCell ref="N64:O64"/>
    <mergeCell ref="Q63:R63"/>
    <mergeCell ref="AC46:AC47"/>
    <mergeCell ref="AD46:AD47"/>
    <mergeCell ref="N66:O66"/>
    <mergeCell ref="Q64:R64"/>
    <mergeCell ref="K63:L63"/>
    <mergeCell ref="Q65:R65"/>
    <mergeCell ref="Q66:R66"/>
    <mergeCell ref="N63:O63"/>
    <mergeCell ref="K64:L64"/>
    <mergeCell ref="Q61:R61"/>
    <mergeCell ref="Q62:R62"/>
    <mergeCell ref="K65:L65"/>
    <mergeCell ref="N65:O65"/>
    <mergeCell ref="AA46:AA47"/>
    <mergeCell ref="AB46:AB47"/>
    <mergeCell ref="AC39:AC40"/>
    <mergeCell ref="AC37:AC38"/>
    <mergeCell ref="AC23:AC24"/>
    <mergeCell ref="AC25:AC26"/>
    <mergeCell ref="AC27:AC28"/>
    <mergeCell ref="AC29:AC30"/>
    <mergeCell ref="AC17:AC18"/>
    <mergeCell ref="AC19:AC20"/>
    <mergeCell ref="AA35:AA36"/>
    <mergeCell ref="AB35:AB36"/>
    <mergeCell ref="AA37:AA38"/>
    <mergeCell ref="AB37:AB38"/>
    <mergeCell ref="AA39:AA40"/>
    <mergeCell ref="AB39:AB40"/>
    <mergeCell ref="AA23:AA24"/>
    <mergeCell ref="AB23:AB24"/>
    <mergeCell ref="AC21:AC22"/>
    <mergeCell ref="AA7:AB7"/>
    <mergeCell ref="AA9:AA10"/>
    <mergeCell ref="AB9:AB10"/>
    <mergeCell ref="AC7:AD7"/>
    <mergeCell ref="AC9:AC10"/>
    <mergeCell ref="AD9:AD10"/>
    <mergeCell ref="AC11:AC12"/>
    <mergeCell ref="AD11:AD12"/>
    <mergeCell ref="AC41:AC43"/>
    <mergeCell ref="AD41:AD43"/>
    <mergeCell ref="AD37:AD38"/>
    <mergeCell ref="AD23:AD24"/>
    <mergeCell ref="AD25:AD26"/>
    <mergeCell ref="AD27:AD28"/>
    <mergeCell ref="AD17:AD18"/>
    <mergeCell ref="AD19:AD20"/>
    <mergeCell ref="AB33:AB34"/>
    <mergeCell ref="AA25:AA26"/>
    <mergeCell ref="AD39:AD40"/>
    <mergeCell ref="AC33:AC34"/>
    <mergeCell ref="AD33:AD34"/>
    <mergeCell ref="AC35:AC36"/>
    <mergeCell ref="AD35:AD36"/>
    <mergeCell ref="AA11:AA12"/>
    <mergeCell ref="AD21:AD22"/>
    <mergeCell ref="AD29:AD30"/>
    <mergeCell ref="AB11:AB12"/>
    <mergeCell ref="AB27:AB28"/>
    <mergeCell ref="AA29:AA30"/>
    <mergeCell ref="AB29:AB30"/>
    <mergeCell ref="AB15:AB16"/>
    <mergeCell ref="AA17:AA18"/>
    <mergeCell ref="AB17:AB18"/>
    <mergeCell ref="AA19:AA20"/>
    <mergeCell ref="AB19:AB20"/>
    <mergeCell ref="AA21:AA22"/>
    <mergeCell ref="AA13:AA14"/>
    <mergeCell ref="AB13:AB14"/>
    <mergeCell ref="AA15:AA16"/>
    <mergeCell ref="AB25:AB26"/>
    <mergeCell ref="AA27:AA28"/>
    <mergeCell ref="AC13:AC14"/>
  </mergeCells>
  <phoneticPr fontId="9" type="noConversion"/>
  <conditionalFormatting sqref="D62:D66">
    <cfRule type="expression" dxfId="59" priority="51" stopIfTrue="1">
      <formula>Consolidación?="SI"</formula>
    </cfRule>
  </conditionalFormatting>
  <conditionalFormatting sqref="I8 I44 I46 L44:L46 O44:O46 R44:R46 I37:I42 I17:I35 L8:L32 O8:O32 R8:R32 L35:L42 O35:O42 R35:R42 F8:F46">
    <cfRule type="cellIs" dxfId="58" priority="52" stopIfTrue="1" operator="lessThan">
      <formula>0</formula>
    </cfRule>
  </conditionalFormatting>
  <conditionalFormatting sqref="B45 B36 B15:B16 B43 B9:B13 B19:B34">
    <cfRule type="expression" dxfId="57" priority="53" stopIfTrue="1">
      <formula>Consolidación?="NO"</formula>
    </cfRule>
    <cfRule type="expression" dxfId="56" priority="54" stopIfTrue="1">
      <formula>Consolidación?="SI"</formula>
    </cfRule>
  </conditionalFormatting>
  <conditionalFormatting sqref="B44">
    <cfRule type="cellIs" dxfId="55" priority="32" stopIfTrue="1" operator="between">
      <formula>$B$44</formula>
      <formula>$B$44</formula>
    </cfRule>
    <cfRule type="expression" dxfId="54" priority="43" stopIfTrue="1">
      <formula>$B$44</formula>
    </cfRule>
    <cfRule type="cellIs" dxfId="53" priority="55" stopIfTrue="1" operator="equal">
      <formula>"error"</formula>
    </cfRule>
  </conditionalFormatting>
  <conditionalFormatting sqref="B47">
    <cfRule type="expression" dxfId="52" priority="56" stopIfTrue="1">
      <formula>Consolidación?="NO"</formula>
    </cfRule>
    <cfRule type="expression" dxfId="51" priority="57" stopIfTrue="1">
      <formula>Consolidación?="SI"</formula>
    </cfRule>
  </conditionalFormatting>
  <conditionalFormatting sqref="P67:P69">
    <cfRule type="expression" dxfId="50" priority="58" stopIfTrue="1">
      <formula>AND(P67&lt;&gt;1,P67&lt;&gt;0,SUM(Beneficios_Acumulados_J)&lt;&gt;0)</formula>
    </cfRule>
  </conditionalFormatting>
  <conditionalFormatting sqref="M67:M69">
    <cfRule type="expression" dxfId="49" priority="59" stopIfTrue="1">
      <formula>AND(M67&lt;&gt;1,M67&lt;&gt;0,SUM(Beneficios_Acumulados_H)&lt;&gt;0)</formula>
    </cfRule>
  </conditionalFormatting>
  <conditionalFormatting sqref="J67:J69">
    <cfRule type="expression" dxfId="48" priority="60" stopIfTrue="1">
      <formula>AND(J67&lt;&gt;1,J67&lt;&gt;0,SUM(Beneficios_Acumulados_F)&lt;&gt;0)</formula>
    </cfRule>
  </conditionalFormatting>
  <conditionalFormatting sqref="G67:G69">
    <cfRule type="expression" dxfId="47" priority="61" stopIfTrue="1">
      <formula>AND(G67&lt;&gt;1,G67&lt;&gt;0,SUM(Beneficios_Acumulados_D)&lt;&gt;0)</formula>
    </cfRule>
  </conditionalFormatting>
  <conditionalFormatting sqref="D67:D69">
    <cfRule type="expression" dxfId="46" priority="62" stopIfTrue="1">
      <formula>AND(D67&lt;&gt;1,D67&lt;&gt;0,SUM(Beneficios_Acumulados_B)&lt;&gt;0)</formula>
    </cfRule>
  </conditionalFormatting>
  <conditionalFormatting sqref="J54:J55 M54:M55 P54:P55">
    <cfRule type="cellIs" dxfId="45" priority="65" stopIfTrue="1" operator="lessThan">
      <formula>0</formula>
    </cfRule>
  </conditionalFormatting>
  <conditionalFormatting sqref="H66:I66">
    <cfRule type="expression" dxfId="44" priority="80" stopIfTrue="1">
      <formula>AND($H$66&gt;0,$I$69-$H$65&gt;0)</formula>
    </cfRule>
  </conditionalFormatting>
  <conditionalFormatting sqref="K66:L66">
    <cfRule type="expression" dxfId="43" priority="82" stopIfTrue="1">
      <formula>AND($K$66&gt;0,$L$69-$K$65&gt;0)</formula>
    </cfRule>
  </conditionalFormatting>
  <conditionalFormatting sqref="N66:O66">
    <cfRule type="expression" dxfId="42" priority="84" stopIfTrue="1">
      <formula>AND($N$66&gt;0,$O$69-$N$65&gt;0)</formula>
    </cfRule>
  </conditionalFormatting>
  <conditionalFormatting sqref="Q66:R66">
    <cfRule type="expression" dxfId="41" priority="86" stopIfTrue="1">
      <formula>AND($Q$66&gt;0,$R$69-$Q$65&gt;0)</formula>
    </cfRule>
  </conditionalFormatting>
  <conditionalFormatting sqref="B8">
    <cfRule type="expression" dxfId="40" priority="108" stopIfTrue="1">
      <formula>Consolidación?="NO"</formula>
    </cfRule>
    <cfRule type="expression" dxfId="39" priority="109" stopIfTrue="1">
      <formula>Consolidación?="SI"</formula>
    </cfRule>
  </conditionalFormatting>
  <conditionalFormatting sqref="B14 B17">
    <cfRule type="expression" dxfId="38" priority="110" stopIfTrue="1">
      <formula>Consolidación?="NO"</formula>
    </cfRule>
    <cfRule type="expression" dxfId="37" priority="111" stopIfTrue="1">
      <formula>Consolidación?="SI"</formula>
    </cfRule>
  </conditionalFormatting>
  <conditionalFormatting sqref="B39">
    <cfRule type="expression" dxfId="36" priority="112" stopIfTrue="1">
      <formula>Consolidación?="NO"</formula>
    </cfRule>
    <cfRule type="expression" dxfId="35" priority="113" stopIfTrue="1">
      <formula>Consolidación?="SI"</formula>
    </cfRule>
  </conditionalFormatting>
  <conditionalFormatting sqref="B18">
    <cfRule type="cellIs" dxfId="34" priority="35" stopIfTrue="1" operator="between">
      <formula>$B$18</formula>
      <formula>$B$18</formula>
    </cfRule>
    <cfRule type="expression" dxfId="33" priority="47" stopIfTrue="1">
      <formula>$B$18</formula>
    </cfRule>
  </conditionalFormatting>
  <conditionalFormatting sqref="B35">
    <cfRule type="cellIs" dxfId="32" priority="36" stopIfTrue="1" operator="between">
      <formula>$B$35</formula>
      <formula>$B$35</formula>
    </cfRule>
    <cfRule type="expression" dxfId="31" priority="46" stopIfTrue="1">
      <formula>$B$35</formula>
    </cfRule>
  </conditionalFormatting>
  <conditionalFormatting sqref="B38">
    <cfRule type="cellIs" dxfId="30" priority="33" stopIfTrue="1" operator="between">
      <formula>$B$38</formula>
      <formula>$B$38</formula>
    </cfRule>
    <cfRule type="expression" dxfId="29" priority="45" stopIfTrue="1">
      <formula>$B$38</formula>
    </cfRule>
  </conditionalFormatting>
  <conditionalFormatting sqref="B46">
    <cfRule type="cellIs" dxfId="28" priority="29" stopIfTrue="1" operator="between">
      <formula>$B$46</formula>
      <formula>$B$46</formula>
    </cfRule>
  </conditionalFormatting>
  <conditionalFormatting sqref="L34">
    <cfRule type="cellIs" dxfId="27" priority="27" stopIfTrue="1" operator="lessThan">
      <formula>0</formula>
    </cfRule>
  </conditionalFormatting>
  <conditionalFormatting sqref="R34">
    <cfRule type="cellIs" dxfId="26" priority="25" stopIfTrue="1" operator="lessThan">
      <formula>0</formula>
    </cfRule>
  </conditionalFormatting>
  <conditionalFormatting sqref="O34">
    <cfRule type="cellIs" dxfId="25" priority="26" stopIfTrue="1" operator="lessThan">
      <formula>0</formula>
    </cfRule>
  </conditionalFormatting>
  <conditionalFormatting sqref="L47">
    <cfRule type="cellIs" dxfId="24" priority="19" stopIfTrue="1" operator="lessThan">
      <formula>0</formula>
    </cfRule>
  </conditionalFormatting>
  <conditionalFormatting sqref="O47">
    <cfRule type="cellIs" dxfId="23" priority="18" stopIfTrue="1" operator="lessThan">
      <formula>0</formula>
    </cfRule>
  </conditionalFormatting>
  <conditionalFormatting sqref="R47">
    <cfRule type="cellIs" dxfId="22" priority="17" stopIfTrue="1" operator="lessThan">
      <formula>0</formula>
    </cfRule>
  </conditionalFormatting>
  <conditionalFormatting sqref="I47">
    <cfRule type="cellIs" dxfId="21" priority="16" stopIfTrue="1" operator="lessThan">
      <formula>0</formula>
    </cfRule>
  </conditionalFormatting>
  <conditionalFormatting sqref="I9:I16">
    <cfRule type="cellIs" dxfId="20" priority="15" stopIfTrue="1" operator="lessThan">
      <formula>0</formula>
    </cfRule>
  </conditionalFormatting>
  <conditionalFormatting sqref="I36">
    <cfRule type="cellIs" dxfId="19" priority="13" stopIfTrue="1" operator="lessThan">
      <formula>0</formula>
    </cfRule>
  </conditionalFormatting>
  <conditionalFormatting sqref="I43">
    <cfRule type="cellIs" dxfId="18" priority="11" stopIfTrue="1" operator="lessThan">
      <formula>0</formula>
    </cfRule>
  </conditionalFormatting>
  <conditionalFormatting sqref="I45">
    <cfRule type="cellIs" dxfId="17" priority="10" stopIfTrue="1" operator="lessThan">
      <formula>0</formula>
    </cfRule>
  </conditionalFormatting>
  <conditionalFormatting sqref="L33">
    <cfRule type="cellIs" dxfId="16" priority="9" stopIfTrue="1" operator="lessThan">
      <formula>0</formula>
    </cfRule>
  </conditionalFormatting>
  <conditionalFormatting sqref="O33">
    <cfRule type="cellIs" dxfId="15" priority="8" stopIfTrue="1" operator="lessThan">
      <formula>0</formula>
    </cfRule>
  </conditionalFormatting>
  <conditionalFormatting sqref="R33">
    <cfRule type="cellIs" dxfId="14" priority="7" stopIfTrue="1" operator="lessThan">
      <formula>0</formula>
    </cfRule>
  </conditionalFormatting>
  <conditionalFormatting sqref="L43">
    <cfRule type="cellIs" dxfId="13" priority="3" stopIfTrue="1" operator="lessThan">
      <formula>0</formula>
    </cfRule>
  </conditionalFormatting>
  <conditionalFormatting sqref="O43">
    <cfRule type="cellIs" dxfId="12" priority="2" stopIfTrue="1" operator="lessThan">
      <formula>0</formula>
    </cfRule>
  </conditionalFormatting>
  <conditionalFormatting sqref="R43">
    <cfRule type="cellIs" dxfId="11" priority="1" stopIfTrue="1" operator="lessThan">
      <formula>0</formula>
    </cfRule>
  </conditionalFormatting>
  <dataValidations count="2">
    <dataValidation allowBlank="1" showInputMessage="1" sqref="B68:B70 C56:C70 B56:B61 B64 D1:D4 D56:D57 I1:I5 L1:L5 O1:O5 R1:R5 A1:A4 U1:U6 AI1:AY16 AE1:AF16 B1:C50 O7:O50 M1:N50 J1:K50 R7:R50 I7:I50 L7:L50 E1:H50 A6:A53 D6:D50 P1:Q50 S1:T1048576 AG1:AH1048576 AZ1:IQ1048576 AI19:AY65527 AE50:AF65527 E56:R65527 D59:D65527 B72:C65527 A56:A65527 X5 U65:AD68 V1:AD4 U84:AD65527 V6:AD6"/>
    <dataValidation type="decimal" operator="greaterThanOrEqual" allowBlank="1" showInputMessage="1" error="Solo valores mayores o iguales a cero." sqref="I6 L6 O6 R6">
      <formula1>0</formula1>
    </dataValidation>
  </dataValidations>
  <printOptions horizontalCentered="1" verticalCentered="1"/>
  <pageMargins left="0.59055118110236227" right="0.39370078740157483" top="0.39370078740157483" bottom="0.39370078740157483" header="0.11811023622047245" footer="0.11811023622047245"/>
  <pageSetup paperSize="9" scale="42" orientation="landscape" horizontalDpi="300" verticalDpi="300" r:id="rId1"/>
  <headerFooter alignWithMargins="0">
    <oddFooter>&amp;A</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dimension ref="A1:BF66"/>
  <sheetViews>
    <sheetView topLeftCell="A23" zoomScale="65" zoomScaleNormal="65" zoomScaleSheetLayoutView="50" workbookViewId="0">
      <selection activeCell="W31" sqref="W31"/>
    </sheetView>
  </sheetViews>
  <sheetFormatPr baseColWidth="10" defaultRowHeight="15.75"/>
  <cols>
    <col min="1" max="1" width="47.33203125" style="191" customWidth="1"/>
    <col min="2" max="2" width="79.1640625" style="191" customWidth="1"/>
    <col min="3" max="3" width="15.33203125" style="191" hidden="1" customWidth="1"/>
    <col min="4" max="4" width="17.6640625" style="96" customWidth="1"/>
    <col min="5" max="5" width="18" style="96" customWidth="1"/>
    <col min="6" max="7" width="17.83203125" style="96" customWidth="1"/>
    <col min="8" max="8" width="17.6640625" style="96" customWidth="1"/>
    <col min="9" max="9" width="5.33203125" style="96" customWidth="1"/>
    <col min="10" max="10" width="6.1640625" style="96" customWidth="1"/>
    <col min="11" max="11" width="12" style="96" customWidth="1"/>
    <col min="12" max="16" width="18.33203125" style="1429" hidden="1" customWidth="1"/>
    <col min="17" max="17" width="11.5" style="96" hidden="1" customWidth="1"/>
    <col min="18" max="18" width="14" style="96" customWidth="1"/>
    <col min="19" max="19" width="4" style="96" customWidth="1"/>
    <col min="20" max="20" width="1.6640625" style="96" customWidth="1"/>
    <col min="21" max="21" width="18.83203125" style="96" customWidth="1"/>
    <col min="22" max="22" width="1.6640625" style="96" customWidth="1"/>
    <col min="23" max="23" width="18.83203125" style="96" customWidth="1"/>
    <col min="24" max="24" width="1.6640625" customWidth="1"/>
    <col min="25" max="25" width="18.83203125" customWidth="1"/>
    <col min="26" max="26" width="4" customWidth="1"/>
    <col min="27" max="27" width="4.6640625" customWidth="1"/>
    <col min="28" max="28" width="5.1640625" customWidth="1"/>
    <col min="29" max="29" width="4.1640625" customWidth="1"/>
    <col min="30" max="30" width="28.1640625" customWidth="1"/>
    <col min="31" max="31" width="2.5" customWidth="1"/>
    <col min="32" max="32" width="22.33203125" customWidth="1"/>
    <col min="33" max="33" width="11" customWidth="1"/>
    <col min="34" max="34" width="22.33203125" customWidth="1"/>
    <col min="35" max="35" width="11" customWidth="1"/>
    <col min="36" max="36" width="22.33203125" customWidth="1"/>
    <col min="37" max="37" width="11" customWidth="1"/>
    <col min="38" max="38" width="4.1640625" customWidth="1"/>
    <col min="39" max="40" width="4.6640625" customWidth="1"/>
    <col min="41" max="41" width="4.1640625" customWidth="1"/>
    <col min="42" max="42" width="31.6640625" customWidth="1"/>
    <col min="43" max="43" width="9.6640625" customWidth="1"/>
    <col min="44" max="44" width="19" customWidth="1"/>
    <col min="45" max="45" width="14.83203125" customWidth="1"/>
    <col min="46" max="46" width="19" customWidth="1"/>
    <col min="47" max="47" width="14" customWidth="1"/>
    <col min="48" max="48" width="19" customWidth="1"/>
    <col min="49" max="49" width="17.33203125" customWidth="1"/>
    <col min="50" max="50" width="4" customWidth="1"/>
    <col min="53" max="53" width="16.5" style="96" customWidth="1"/>
    <col min="54" max="58" width="12" style="96" hidden="1" customWidth="1"/>
    <col min="59" max="16384" width="12" style="96"/>
  </cols>
  <sheetData>
    <row r="1" spans="1:58" ht="15" customHeight="1">
      <c r="A1" s="188" t="str">
        <f>IF('1.Datos Básicos. Product-Serv'!B5=0,"",'1.Datos Básicos. Product-Serv'!B5)</f>
        <v/>
      </c>
      <c r="B1" s="96"/>
      <c r="C1" s="96"/>
    </row>
    <row r="2" spans="1:58" ht="15" customHeight="1">
      <c r="A2" s="189"/>
      <c r="B2" s="190"/>
      <c r="C2" s="190"/>
      <c r="BB2" s="1421"/>
      <c r="BC2" s="1421" t="s">
        <v>566</v>
      </c>
      <c r="BD2" s="1421"/>
      <c r="BE2" s="1421"/>
      <c r="BF2" s="1421"/>
    </row>
    <row r="3" spans="1:58" ht="24" customHeight="1">
      <c r="A3" s="4182" t="s">
        <v>576</v>
      </c>
      <c r="B3" s="4183"/>
      <c r="C3" s="190"/>
      <c r="K3" s="3155"/>
      <c r="L3" s="1430"/>
      <c r="M3" s="1430"/>
      <c r="N3" s="1430"/>
      <c r="O3" s="1430"/>
      <c r="P3" s="1430"/>
      <c r="Q3" s="1465"/>
    </row>
    <row r="4" spans="1:58" ht="18.75" customHeight="1" thickBot="1">
      <c r="C4" s="192"/>
      <c r="D4" s="193"/>
      <c r="E4" s="193"/>
      <c r="F4" s="194"/>
      <c r="G4" s="194"/>
      <c r="H4" s="194"/>
      <c r="L4" s="1589"/>
      <c r="M4" s="1589"/>
      <c r="N4" s="1589"/>
      <c r="O4" s="1589"/>
      <c r="P4" s="1589"/>
    </row>
    <row r="5" spans="1:58" s="154" customFormat="1" ht="33.75" customHeight="1" thickBot="1">
      <c r="A5" s="3207" t="s">
        <v>162</v>
      </c>
      <c r="B5" s="3208" t="s">
        <v>161</v>
      </c>
      <c r="C5" s="3209">
        <f>(Año_Com_Ejerc_0)</f>
        <v>-1</v>
      </c>
      <c r="D5" s="3210" t="str">
        <f>"1º ej."&amp;'1.Datos Básicos. Product-Serv'!B11</f>
        <v>1º ej.0</v>
      </c>
      <c r="E5" s="3211" t="str">
        <f>"2º ej."&amp;'1.Datos Básicos. Product-Serv'!E11</f>
        <v>2º ej.1</v>
      </c>
      <c r="F5" s="3212" t="str">
        <f>"3º ej."&amp;'1.Datos Básicos. Product-Serv'!F11</f>
        <v>3º ej.2</v>
      </c>
      <c r="G5" s="3212" t="str">
        <f>"4º ej."&amp;'1.Datos Básicos. Product-Serv'!G11</f>
        <v>4º ej.3</v>
      </c>
      <c r="H5" s="3212" t="str">
        <f>"5º ej."&amp;'1.Datos Básicos. Product-Serv'!H11</f>
        <v>5º ej.4</v>
      </c>
      <c r="L5" s="1431"/>
      <c r="M5" s="1432"/>
      <c r="N5" s="1432"/>
      <c r="O5" s="1432"/>
      <c r="P5" s="1432"/>
      <c r="S5" s="3156"/>
      <c r="T5" s="4099" t="s">
        <v>795</v>
      </c>
      <c r="U5" s="4099"/>
      <c r="V5" s="4099"/>
      <c r="W5" s="4099"/>
      <c r="X5" s="4100"/>
      <c r="Y5" s="4100"/>
      <c r="Z5" s="3172"/>
      <c r="AA5" s="787"/>
      <c r="AB5" s="787"/>
      <c r="AC5" s="3165"/>
      <c r="AD5" s="4141" t="s">
        <v>318</v>
      </c>
      <c r="AE5" s="4142"/>
      <c r="AF5" s="4142"/>
      <c r="AG5" s="4142"/>
      <c r="AH5" s="4142"/>
      <c r="AI5" s="4142"/>
      <c r="AJ5" s="4142"/>
      <c r="AK5" s="4142"/>
      <c r="AL5" s="3166"/>
      <c r="AO5" s="3156"/>
      <c r="AP5" s="4126" t="s">
        <v>319</v>
      </c>
      <c r="AQ5" s="4100"/>
      <c r="AR5" s="4100"/>
      <c r="AS5" s="4100"/>
      <c r="AT5" s="4100"/>
      <c r="AU5" s="4100"/>
      <c r="AV5" s="4100"/>
      <c r="AW5" s="4100"/>
      <c r="AX5" s="3162"/>
      <c r="AY5" s="3163"/>
      <c r="BA5" s="195"/>
      <c r="BB5" s="195"/>
    </row>
    <row r="6" spans="1:58" s="154" customFormat="1" ht="18" customHeight="1" thickBot="1">
      <c r="A6" s="4184" t="s">
        <v>166</v>
      </c>
      <c r="B6" s="4187" t="s">
        <v>279</v>
      </c>
      <c r="C6" s="4169" t="str">
        <f>IF(Consolidación?="NO","",IF(('(0) 4. Resumen Balances (5 Ej.)'!B20)&lt;=0,"NS",IF(('(0) 5. Resumen P y G (5 Ej.)'!B46)&lt;0,"NS",('(0) 5. Resumen P y G (5 Ej.)'!B46)/('(0) 4. Resumen Balances (5 Ej.)'!B20-'(0) 4. Resumen Balances (5 Ej.)'!B27))))</f>
        <v/>
      </c>
      <c r="D6" s="4169" t="str">
        <f>IF('(0) 4. Resumen Balances (5 Ej.)'!D39=0,"",IF(('(0) 4. Resumen Balances (5 Ej.)'!D20)&lt;=0,"NS",IF(('(0) 5. Resumen P y G (5 Ej.)'!D46)&lt;0,"NS",('(0) 5. Resumen P y G (5 Ej.)'!D46)/('(0) 4. Resumen Balances (5 Ej.)'!D20-'(0) 4. Resumen Balances (5 Ej.)'!D27))))</f>
        <v/>
      </c>
      <c r="E6" s="4169" t="str">
        <f>IF('(0) 4. Resumen Balances (5 Ej.)'!F39=0,"",IF(('(0) 4. Resumen Balances (5 Ej.)'!F20)&lt;=0,"NS",IF(('(0) 5. Resumen P y G (5 Ej.)'!G46)&lt;0,"NS",('(0) 5. Resumen P y G (5 Ej.)'!G46)/('(0) 4. Resumen Balances (5 Ej.)'!F20-'(0) 4. Resumen Balances (5 Ej.)'!F27))))</f>
        <v/>
      </c>
      <c r="F6" s="4169" t="str">
        <f>IF('(0) 4. Resumen Balances (5 Ej.)'!H39=0,"",IF(('(0) 4. Resumen Balances (5 Ej.)'!H20)&lt;=0,"NS",IF(('(0) 5. Resumen P y G (5 Ej.)'!J46)&lt;0,"NS",('(0) 5. Resumen P y G (5 Ej.)'!J46)/('(0) 4. Resumen Balances (5 Ej.)'!H20-'(0) 4. Resumen Balances (5 Ej.)'!H27))))</f>
        <v/>
      </c>
      <c r="G6" s="4169" t="str">
        <f>IF('(0) 4. Resumen Balances (5 Ej.)'!J39=0,"",IF(('(0) 4. Resumen Balances (5 Ej.)'!J20)&lt;=0,"NS",IF(('(0) 5. Resumen P y G (5 Ej.)'!M46)&lt;0,"NS",('(0) 5. Resumen P y G (5 Ej.)'!M46)/('(0) 4. Resumen Balances (5 Ej.)'!J20-'(0) 4. Resumen Balances (5 Ej.)'!J27))))</f>
        <v/>
      </c>
      <c r="H6" s="4169" t="str">
        <f>IF('(0) 4. Resumen Balances (5 Ej.)'!L39=0,"",IF(('(0) 4. Resumen Balances (5 Ej.)'!L20)&lt;=0,"NS",IF(('(0) 5. Resumen P y G (5 Ej.)'!P46)&lt;0,"NS",('(0) 5. Resumen P y G (5 Ej.)'!P46)/('(0) 4. Resumen Balances (5 Ej.)'!L20-'(0) 4. Resumen Balances (5 Ej.)'!L27))))</f>
        <v/>
      </c>
      <c r="I6" s="1466" t="s">
        <v>494</v>
      </c>
      <c r="L6" s="1433"/>
      <c r="M6" s="1434"/>
      <c r="N6" s="1434"/>
      <c r="O6" s="1434"/>
      <c r="P6" s="1434"/>
      <c r="S6" s="3157"/>
      <c r="T6" s="1363"/>
      <c r="U6" s="4175" t="str">
        <f>'(0) 4. Resumen Balances (5 Ej.)'!H5</f>
        <v>Cierre 3º Ejerc. 2</v>
      </c>
      <c r="V6" s="3112"/>
      <c r="W6" s="4175" t="str">
        <f>'(0) 4. Resumen Balances (5 Ej.)'!J5</f>
        <v>Cierre 4º Ejerc. 3</v>
      </c>
      <c r="X6" s="3112"/>
      <c r="Y6" s="4146" t="str">
        <f>'(0) 4. Resumen Balances (5 Ej.)'!L5</f>
        <v>Cierre 5º Ejerc. 4</v>
      </c>
      <c r="Z6" s="3173"/>
      <c r="AA6" s="1422"/>
      <c r="AB6" s="1422"/>
      <c r="AC6" s="3167"/>
      <c r="AD6" s="4130" t="s">
        <v>320</v>
      </c>
      <c r="AE6" s="4162"/>
      <c r="AF6" s="4162"/>
      <c r="AG6" s="4162"/>
      <c r="AH6" s="4162"/>
      <c r="AI6" s="4131"/>
      <c r="AJ6" s="4131"/>
      <c r="AK6" s="4131"/>
      <c r="AL6" s="3168"/>
      <c r="AO6" s="3157"/>
      <c r="AP6" s="4130" t="s">
        <v>321</v>
      </c>
      <c r="AQ6" s="4131"/>
      <c r="AR6" s="4131"/>
      <c r="AS6" s="4131"/>
      <c r="AT6" s="4131"/>
      <c r="AU6" s="4131"/>
      <c r="AV6" s="4131"/>
      <c r="AW6" s="4131"/>
      <c r="AX6" s="348"/>
      <c r="AY6" s="3163"/>
      <c r="BA6" s="186"/>
      <c r="BB6" s="186"/>
    </row>
    <row r="7" spans="1:58" s="154" customFormat="1" ht="18" customHeight="1">
      <c r="A7" s="4185"/>
      <c r="B7" s="4188"/>
      <c r="C7" s="4170"/>
      <c r="D7" s="4170"/>
      <c r="E7" s="4170"/>
      <c r="F7" s="4170"/>
      <c r="G7" s="4170"/>
      <c r="H7" s="4170"/>
      <c r="I7" s="196"/>
      <c r="L7" s="1433"/>
      <c r="M7" s="1434"/>
      <c r="N7" s="1434"/>
      <c r="O7" s="1434"/>
      <c r="P7" s="1434"/>
      <c r="S7" s="3157"/>
      <c r="T7" s="1363"/>
      <c r="U7" s="4176"/>
      <c r="V7" s="3112"/>
      <c r="W7" s="4176"/>
      <c r="X7" s="3112"/>
      <c r="Y7" s="4147"/>
      <c r="Z7" s="3174"/>
      <c r="AA7" s="1423"/>
      <c r="AB7" s="1423"/>
      <c r="AC7" s="3167"/>
      <c r="AD7" s="348"/>
      <c r="AE7" s="348"/>
      <c r="AF7" s="348"/>
      <c r="AG7" s="348"/>
      <c r="AH7" s="348"/>
      <c r="AI7" s="348"/>
      <c r="AJ7" s="348"/>
      <c r="AK7" s="348"/>
      <c r="AL7" s="3168"/>
      <c r="AO7" s="3157"/>
      <c r="AP7" s="348"/>
      <c r="AQ7" s="348"/>
      <c r="AR7" s="348"/>
      <c r="AS7" s="348"/>
      <c r="AT7" s="348"/>
      <c r="AU7" s="348"/>
      <c r="AV7" s="348"/>
      <c r="AW7" s="348"/>
      <c r="AX7" s="348"/>
      <c r="AY7" s="3163"/>
      <c r="BA7" s="186"/>
      <c r="BB7" s="186"/>
    </row>
    <row r="8" spans="1:58" s="154" customFormat="1" ht="18" customHeight="1" thickBot="1">
      <c r="A8" s="4186" t="s">
        <v>167</v>
      </c>
      <c r="B8" s="4189" t="s">
        <v>69</v>
      </c>
      <c r="C8" s="4171" t="str">
        <f>IF(Consolidación?="NO","",IF(('(0) 4. Resumen Balances (5 Ej.)'!B19)&lt;=0,"NS",IF(('(0) 5. Resumen P y G (5 Ej.)'!B38)&lt;0,"NS",('(0) 5. Resumen P y G (5 Ej.)'!B38)/('(0) 4. Resumen Balances (5 Ej.)'!B19))))</f>
        <v/>
      </c>
      <c r="D8" s="4171" t="str">
        <f>IF('(0) 4. Resumen Balances (5 Ej.)'!D19=0,"",IF(('(0) 4. Resumen Balances (5 Ej.)'!D19)&lt;=0,"NS",IF(('(0) 5. Resumen P y G (5 Ej.)'!D38)&lt;0,"NS",('(0) 5. Resumen P y G (5 Ej.)'!D38)/('(0) 4. Resumen Balances (5 Ej.)'!D19))))</f>
        <v/>
      </c>
      <c r="E8" s="4171" t="str">
        <f>IF('(0) 4. Resumen Balances (5 Ej.)'!F19=0,"",IF(('(0) 4. Resumen Balances (5 Ej.)'!F19)&lt;=0,"NS",IF(('(0) 5. Resumen P y G (5 Ej.)'!G38)&lt;0,"NS",('(0) 5. Resumen P y G (5 Ej.)'!G38)/('(0) 4. Resumen Balances (5 Ej.)'!F19))))</f>
        <v/>
      </c>
      <c r="F8" s="4171" t="str">
        <f>IF('(0) 4. Resumen Balances (5 Ej.)'!H19=0,"",IF(('(0) 4. Resumen Balances (5 Ej.)'!H19)&lt;=0,"NS",IF(('(0) 5. Resumen P y G (5 Ej.)'!J38)&lt;0,"NS",('(0) 5. Resumen P y G (5 Ej.)'!J38)/('(0) 4. Resumen Balances (5 Ej.)'!H19))))</f>
        <v/>
      </c>
      <c r="G8" s="4171" t="str">
        <f>IF('(0) 4. Resumen Balances (5 Ej.)'!J19=0,"",IF(('(0) 4. Resumen Balances (5 Ej.)'!J19)&lt;=0,"NS",IF(('(0) 5. Resumen P y G (5 Ej.)'!M38)&lt;0,"NS",('(0) 5. Resumen P y G (5 Ej.)'!M38)/('(0) 4. Resumen Balances (5 Ej.)'!J19))))</f>
        <v/>
      </c>
      <c r="H8" s="4171" t="str">
        <f>IF('(0) 4. Resumen Balances (5 Ej.)'!L19=0,"",IF(('(0) 4. Resumen Balances (5 Ej.)'!L19)&lt;=0,"NS",IF(('(0) 5. Resumen P y G (5 Ej.)'!P38)&lt;0,"NS",('(0) 5. Resumen P y G (5 Ej.)'!P38)/('(0) 4. Resumen Balances (5 Ej.)'!L19))))</f>
        <v/>
      </c>
      <c r="I8" s="196"/>
      <c r="L8" s="1433"/>
      <c r="M8" s="1434"/>
      <c r="N8" s="1434"/>
      <c r="O8" s="1434"/>
      <c r="P8" s="1434"/>
      <c r="S8" s="3157"/>
      <c r="T8" s="1462"/>
      <c r="U8" s="4173">
        <f>'(0) 4. Resumen Balances (5 Ej.)'!I7</f>
        <v>0</v>
      </c>
      <c r="V8" s="3113"/>
      <c r="W8" s="4173">
        <f>'(0) 4. Resumen Balances (5 Ej.)'!K7</f>
        <v>0</v>
      </c>
      <c r="X8" s="3113"/>
      <c r="Y8" s="4139">
        <f>'(0) 4. Resumen Balances (5 Ej.)'!M7</f>
        <v>0</v>
      </c>
      <c r="Z8" s="3175"/>
      <c r="AA8" s="1424"/>
      <c r="AB8" s="1424"/>
      <c r="AC8" s="3167"/>
      <c r="AD8" s="4108" t="s">
        <v>532</v>
      </c>
      <c r="AE8" s="202"/>
      <c r="AF8" s="4110" t="str">
        <f>'(0) 4. Resumen Balances (5 Ej.)'!H5</f>
        <v>Cierre 3º Ejerc. 2</v>
      </c>
      <c r="AG8" s="4145"/>
      <c r="AH8" s="4110" t="str">
        <f>'(0) 4. Resumen Balances (5 Ej.)'!J5</f>
        <v>Cierre 4º Ejerc. 3</v>
      </c>
      <c r="AI8" s="4145"/>
      <c r="AJ8" s="4110" t="str">
        <f>'(0) 4. Resumen Balances (5 Ej.)'!L5</f>
        <v>Cierre 5º Ejerc. 4</v>
      </c>
      <c r="AK8" s="4145"/>
      <c r="AL8" s="3168"/>
      <c r="AO8" s="3157"/>
      <c r="AP8" s="4108" t="s">
        <v>548</v>
      </c>
      <c r="AQ8" s="202"/>
      <c r="AR8" s="4110" t="str">
        <f>'(0) 4. Resumen Balances (5 Ej.)'!H5</f>
        <v>Cierre 3º Ejerc. 2</v>
      </c>
      <c r="AS8" s="4111"/>
      <c r="AT8" s="4110" t="str">
        <f>'(0) 4. Resumen Balances (5 Ej.)'!J5</f>
        <v>Cierre 4º Ejerc. 3</v>
      </c>
      <c r="AU8" s="4111"/>
      <c r="AV8" s="4110" t="str">
        <f>'(0) 4. Resumen Balances (5 Ej.)'!L5</f>
        <v>Cierre 5º Ejerc. 4</v>
      </c>
      <c r="AW8" s="4111"/>
      <c r="AX8" s="348"/>
      <c r="AY8" s="3163"/>
      <c r="BA8" s="186"/>
      <c r="BB8" s="186"/>
    </row>
    <row r="9" spans="1:58" s="154" customFormat="1" ht="18" customHeight="1">
      <c r="A9" s="4185"/>
      <c r="B9" s="4190"/>
      <c r="C9" s="4172"/>
      <c r="D9" s="4172"/>
      <c r="E9" s="4172"/>
      <c r="F9" s="4172"/>
      <c r="G9" s="4172"/>
      <c r="H9" s="4172"/>
      <c r="I9" s="196"/>
      <c r="L9" s="1433"/>
      <c r="M9" s="1434"/>
      <c r="N9" s="1434"/>
      <c r="O9" s="1434"/>
      <c r="P9" s="1434"/>
      <c r="S9" s="3157"/>
      <c r="T9" s="1462"/>
      <c r="U9" s="4174"/>
      <c r="V9" s="3113"/>
      <c r="W9" s="4174"/>
      <c r="X9" s="3113"/>
      <c r="Y9" s="4140"/>
      <c r="Z9" s="3176"/>
      <c r="AA9" s="1425"/>
      <c r="AB9" s="1425"/>
      <c r="AC9" s="3167"/>
      <c r="AD9" s="4109"/>
      <c r="AE9" s="3153"/>
      <c r="AF9" s="4120" t="s">
        <v>346</v>
      </c>
      <c r="AG9" s="4121"/>
      <c r="AH9" s="4120" t="s">
        <v>347</v>
      </c>
      <c r="AI9" s="4121"/>
      <c r="AJ9" s="4120" t="s">
        <v>348</v>
      </c>
      <c r="AK9" s="4121"/>
      <c r="AL9" s="3168"/>
      <c r="AO9" s="3157"/>
      <c r="AP9" s="4109"/>
      <c r="AQ9" s="3153"/>
      <c r="AR9" s="4120" t="s">
        <v>346</v>
      </c>
      <c r="AS9" s="4121"/>
      <c r="AT9" s="4120" t="s">
        <v>347</v>
      </c>
      <c r="AU9" s="4121"/>
      <c r="AV9" s="4120" t="s">
        <v>348</v>
      </c>
      <c r="AW9" s="4121"/>
      <c r="AX9" s="348"/>
      <c r="AY9" s="3163"/>
      <c r="BA9" s="186"/>
      <c r="BB9" s="186"/>
    </row>
    <row r="10" spans="1:58" s="154" customFormat="1" ht="18" customHeight="1" thickBot="1">
      <c r="A10" s="4189" t="s">
        <v>264</v>
      </c>
      <c r="B10" s="4189" t="s">
        <v>168</v>
      </c>
      <c r="C10" s="4192" t="str">
        <f>IF(Consolidación?="NO","",IF(('(0) 5. Resumen P y G (5 Ej.)'!$B$35)&lt;0,"NS",IF('(0) 5. Resumen P y G (5 Ej.)'!B8=0,"NS",('(0) 5. Resumen P y G (5 Ej.)'!B35)/('(0) 5. Resumen P y G (5 Ej.)'!$B$8))))</f>
        <v/>
      </c>
      <c r="D10" s="4192" t="str">
        <f>IF('(0) 4. Resumen Balances (5 Ej.)'!D39=0,"",IF(('(0) 5. Resumen P y G (5 Ej.)'!$D$8)=0,"NS",IF('(0) 5. Resumen P y G (5 Ej.)'!D35&lt;0,"NS",('(0) 5. Resumen P y G (5 Ej.)'!D35)/('(0) 5. Resumen P y G (5 Ej.)'!$D$8))))</f>
        <v/>
      </c>
      <c r="E10" s="4171" t="str">
        <f>IF('(0) 4. Resumen Balances (5 Ej.)'!F39=0,"",IF(('(0) 5. Resumen P y G (5 Ej.)'!$G$8)=0,"NS",IF('(0) 5. Resumen P y G (5 Ej.)'!G35&lt;0,"NS",('(0) 5. Resumen P y G (5 Ej.)'!G35)/('(0) 5. Resumen P y G (5 Ej.)'!$G$8))))</f>
        <v/>
      </c>
      <c r="F10" s="4171" t="str">
        <f>IF('(0) 4. Resumen Balances (5 Ej.)'!H39=0,"",IF(('(0) 5. Resumen P y G (5 Ej.)'!$J$8)=0,"NS",IF('(0) 5. Resumen P y G (5 Ej.)'!J35&lt;0,"NS",('(0) 5. Resumen P y G (5 Ej.)'!J35)/('(0) 5. Resumen P y G (5 Ej.)'!$J$8))))</f>
        <v/>
      </c>
      <c r="G10" s="4171" t="str">
        <f>IF('(0) 4. Resumen Balances (5 Ej.)'!J39=0,"",IF(('(0) 5. Resumen P y G (5 Ej.)'!$M$8)=0,"NS",IF('(0) 5. Resumen P y G (5 Ej.)'!M35&lt;0,"NS",('(0) 5. Resumen P y G (5 Ej.)'!M35)/('(0) 5. Resumen P y G (5 Ej.)'!$M$8))))</f>
        <v/>
      </c>
      <c r="H10" s="4171" t="str">
        <f>IF('(0) 4. Resumen Balances (5 Ej.)'!L39=0,"",IF(('(0) 5. Resumen P y G (5 Ej.)'!$P$8)=0,"NS",IF('(0) 5. Resumen P y G (5 Ej.)'!P35&lt;0,"NS",('(0) 5. Resumen P y G (5 Ej.)'!P35)/('(0) 5. Resumen P y G (5 Ej.)'!$P$8))))</f>
        <v/>
      </c>
      <c r="I10" s="196"/>
      <c r="L10" s="1433"/>
      <c r="M10" s="1434"/>
      <c r="N10" s="1434"/>
      <c r="O10" s="1434"/>
      <c r="P10" s="1434"/>
      <c r="S10" s="3157"/>
      <c r="T10" s="1462"/>
      <c r="U10" s="3114"/>
      <c r="V10" s="3113"/>
      <c r="W10" s="3114"/>
      <c r="X10" s="3113"/>
      <c r="Y10" s="3113"/>
      <c r="Z10" s="3177"/>
      <c r="AA10" s="1426"/>
      <c r="AB10" s="1426"/>
      <c r="AC10" s="3167"/>
      <c r="AD10" s="1362"/>
      <c r="AE10" s="1366"/>
      <c r="AF10" s="1365"/>
      <c r="AG10" s="1366"/>
      <c r="AH10" s="1365"/>
      <c r="AI10" s="1366"/>
      <c r="AJ10" s="1365"/>
      <c r="AK10" s="1366"/>
      <c r="AL10" s="3168"/>
      <c r="AO10" s="3157"/>
      <c r="AP10" s="1362"/>
      <c r="AQ10" s="1366"/>
      <c r="AR10" s="1365"/>
      <c r="AS10" s="1366"/>
      <c r="AT10" s="1365"/>
      <c r="AU10" s="1366"/>
      <c r="AV10" s="1365"/>
      <c r="AW10" s="1366"/>
      <c r="AX10" s="348"/>
      <c r="AY10" s="3163"/>
      <c r="BA10" s="186"/>
      <c r="BB10" s="186"/>
    </row>
    <row r="11" spans="1:58" s="154" customFormat="1" ht="18" customHeight="1" thickBot="1">
      <c r="A11" s="4191"/>
      <c r="B11" s="4191"/>
      <c r="C11" s="4193"/>
      <c r="D11" s="4193"/>
      <c r="E11" s="4169"/>
      <c r="F11" s="4169"/>
      <c r="G11" s="4169"/>
      <c r="H11" s="4169"/>
      <c r="I11" s="196"/>
      <c r="L11" s="1433"/>
      <c r="M11" s="1434"/>
      <c r="N11" s="1434"/>
      <c r="O11" s="1434"/>
      <c r="P11" s="1434"/>
      <c r="S11" s="3157"/>
      <c r="T11" s="1462"/>
      <c r="U11" s="4173">
        <f>'(0) 4. Resumen Balances (5 Ej.)'!I15</f>
        <v>0</v>
      </c>
      <c r="V11" s="3113"/>
      <c r="W11" s="4173">
        <f>'(0) 4. Resumen Balances (5 Ej.)'!K15</f>
        <v>0</v>
      </c>
      <c r="X11" s="3113"/>
      <c r="Y11" s="4139">
        <f>'(0) 4. Resumen Balances (5 Ej.)'!M15</f>
        <v>0</v>
      </c>
      <c r="Z11" s="3175"/>
      <c r="AA11" s="1424"/>
      <c r="AB11" s="1424"/>
      <c r="AC11" s="3167"/>
      <c r="AD11" s="1367" t="s">
        <v>325</v>
      </c>
      <c r="AE11" s="202"/>
      <c r="AF11" s="4152">
        <f>'(0) 5. Resumen P y G (5 Ej.)'!J8</f>
        <v>0</v>
      </c>
      <c r="AG11" s="4150">
        <v>1</v>
      </c>
      <c r="AH11" s="4152">
        <f>'(0) 5. Resumen P y G (5 Ej.)'!M8</f>
        <v>0</v>
      </c>
      <c r="AI11" s="4150">
        <v>1</v>
      </c>
      <c r="AJ11" s="4152">
        <f>'(0) 5. Resumen P y G (5 Ej.)'!P8</f>
        <v>0</v>
      </c>
      <c r="AK11" s="4150">
        <v>1</v>
      </c>
      <c r="AL11" s="3168"/>
      <c r="AO11" s="3157"/>
      <c r="AP11" s="3154" t="s">
        <v>567</v>
      </c>
      <c r="AQ11" s="4105" t="str">
        <f>'(0) 4. Resumen Balances (5 Ej.)'!G18</f>
        <v/>
      </c>
      <c r="AR11" s="4112">
        <f>'(0) 4. Resumen Balances (5 Ej.)'!H18</f>
        <v>0</v>
      </c>
      <c r="AS11" s="4105" t="str">
        <f>'(0) 4. Resumen Balances (5 Ej.)'!I18</f>
        <v/>
      </c>
      <c r="AT11" s="4112">
        <f>'(0) 4. Resumen Balances (5 Ej.)'!J18</f>
        <v>0</v>
      </c>
      <c r="AU11" s="4105" t="str">
        <f>'(0) 4. Resumen Balances (5 Ej.)'!K18</f>
        <v/>
      </c>
      <c r="AV11" s="4112">
        <f>'(0) 4. Resumen Balances (5 Ej.)'!L18</f>
        <v>0</v>
      </c>
      <c r="AW11" s="4105" t="str">
        <f>'(0) 4. Resumen Balances (5 Ej.)'!M18</f>
        <v/>
      </c>
      <c r="AX11" s="348"/>
      <c r="AY11" s="3163"/>
      <c r="BA11" s="186"/>
      <c r="BB11" s="186"/>
    </row>
    <row r="12" spans="1:58" s="154" customFormat="1" ht="17.25" customHeight="1" thickBot="1">
      <c r="A12" s="197"/>
      <c r="B12" s="197"/>
      <c r="C12" s="192"/>
      <c r="D12" s="198"/>
      <c r="E12" s="198"/>
      <c r="F12" s="198"/>
      <c r="G12" s="198"/>
      <c r="H12" s="198"/>
      <c r="I12" s="196"/>
      <c r="L12" s="4180" t="s">
        <v>544</v>
      </c>
      <c r="M12" s="4181"/>
      <c r="N12" s="4181"/>
      <c r="O12" s="4181"/>
      <c r="P12" s="4181"/>
      <c r="S12" s="3157"/>
      <c r="T12" s="1462"/>
      <c r="U12" s="4174"/>
      <c r="V12" s="3113"/>
      <c r="W12" s="4174"/>
      <c r="X12" s="3113"/>
      <c r="Y12" s="4140"/>
      <c r="Z12" s="3176"/>
      <c r="AA12" s="1425"/>
      <c r="AB12" s="1425"/>
      <c r="AC12" s="3167"/>
      <c r="AD12" s="1368" t="s">
        <v>327</v>
      </c>
      <c r="AE12" s="202"/>
      <c r="AF12" s="4153"/>
      <c r="AG12" s="4151"/>
      <c r="AH12" s="4153"/>
      <c r="AI12" s="4151"/>
      <c r="AJ12" s="4153"/>
      <c r="AK12" s="4151"/>
      <c r="AL12" s="3168"/>
      <c r="AO12" s="3157"/>
      <c r="AP12" s="1375" t="s">
        <v>328</v>
      </c>
      <c r="AQ12" s="4106"/>
      <c r="AR12" s="4113"/>
      <c r="AS12" s="4106"/>
      <c r="AT12" s="4113"/>
      <c r="AU12" s="4106"/>
      <c r="AV12" s="4113"/>
      <c r="AW12" s="4106"/>
      <c r="AX12" s="348"/>
      <c r="AY12" s="3163"/>
      <c r="BA12" s="199"/>
    </row>
    <row r="13" spans="1:58" s="154" customFormat="1" ht="33" customHeight="1" thickBot="1">
      <c r="A13" s="3207" t="s">
        <v>163</v>
      </c>
      <c r="B13" s="3208" t="str">
        <f>B5</f>
        <v>Fórmulas</v>
      </c>
      <c r="C13" s="3209">
        <f>(Año_Com_Ejerc_0)</f>
        <v>-1</v>
      </c>
      <c r="D13" s="3210" t="str">
        <f>D5</f>
        <v>1º ej.0</v>
      </c>
      <c r="E13" s="3211" t="str">
        <f>E5</f>
        <v>2º ej.1</v>
      </c>
      <c r="F13" s="3212" t="str">
        <f>F5</f>
        <v>3º ej.2</v>
      </c>
      <c r="G13" s="3212" t="str">
        <f>G5</f>
        <v>4º ej.3</v>
      </c>
      <c r="H13" s="3212" t="str">
        <f>H5</f>
        <v>5º ej.4</v>
      </c>
      <c r="I13" s="196"/>
      <c r="L13" s="1266" t="str">
        <f>D13</f>
        <v>1º ej.0</v>
      </c>
      <c r="M13" s="1266" t="str">
        <f>E13</f>
        <v>2º ej.1</v>
      </c>
      <c r="N13" s="1266" t="str">
        <f>F13</f>
        <v>3º ej.2</v>
      </c>
      <c r="O13" s="1266" t="str">
        <f>G13</f>
        <v>4º ej.3</v>
      </c>
      <c r="P13" s="1266" t="str">
        <f>H13</f>
        <v>5º ej.4</v>
      </c>
      <c r="S13" s="3157"/>
      <c r="T13" s="1363"/>
      <c r="U13" s="3115"/>
      <c r="V13" s="3112"/>
      <c r="W13" s="3115"/>
      <c r="X13" s="3112"/>
      <c r="Y13" s="3112"/>
      <c r="Z13" s="3177"/>
      <c r="AA13" s="1426"/>
      <c r="AB13" s="1426"/>
      <c r="AC13" s="3167"/>
      <c r="AD13" s="1362"/>
      <c r="AE13" s="1370"/>
      <c r="AF13" s="1369"/>
      <c r="AG13" s="1370"/>
      <c r="AH13" s="1369"/>
      <c r="AI13" s="1370"/>
      <c r="AJ13" s="1369"/>
      <c r="AK13" s="1370"/>
      <c r="AL13" s="3168"/>
      <c r="AO13" s="3157"/>
      <c r="AP13" s="1362"/>
      <c r="AQ13" s="1370"/>
      <c r="AR13" s="1369"/>
      <c r="AS13" s="1370"/>
      <c r="AT13" s="1369"/>
      <c r="AU13" s="1370"/>
      <c r="AV13" s="1369"/>
      <c r="AW13" s="1370"/>
      <c r="AX13" s="348"/>
      <c r="AY13" s="3163"/>
      <c r="BA13" s="187"/>
      <c r="BB13" s="1420"/>
      <c r="BC13" s="1420"/>
      <c r="BD13" s="1420"/>
      <c r="BE13" s="1420"/>
      <c r="BF13" s="1420"/>
    </row>
    <row r="14" spans="1:58" s="154" customFormat="1" ht="31.5" customHeight="1" thickBot="1">
      <c r="A14" s="1449" t="s">
        <v>169</v>
      </c>
      <c r="B14" s="1451" t="s">
        <v>262</v>
      </c>
      <c r="C14" s="147" t="str">
        <f>IF(Consolidación?="NO","",IF(('(0) 4. Resumen Balances (5 Ej.)'!B28+'(0) 4. Resumen Balances (5 Ej.)'!B32)&lt;=0.001,"NS",IF(('(0) 4. Resumen Balances (5 Ej.)'!B19)&lt;0,"NS",('(0) 4. Resumen Balances (5 Ej.)'!B19)/('(0) 4. Resumen Balances (5 Ej.)'!B28+'(0) 4. Resumen Balances (5 Ej.)'!B32))))</f>
        <v/>
      </c>
      <c r="D14" s="147" t="str">
        <f>IF('(0) 4. Resumen Balances (5 Ej.)'!D39=0,"",IF(('(0) 4. Resumen Balances (5 Ej.)'!D28+'(0) 4. Resumen Balances (5 Ej.)'!D32)&lt;=0.001,"NS",IF(('(0) 4. Resumen Balances (5 Ej.)'!D19)&lt;0,"NS",('(0) 4. Resumen Balances (5 Ej.)'!D19)/('(0) 4. Resumen Balances (5 Ej.)'!D28+'(0) 4. Resumen Balances (5 Ej.)'!D32))))</f>
        <v/>
      </c>
      <c r="E14" s="147" t="str">
        <f>IF('(0) 4. Resumen Balances (5 Ej.)'!F39=0,"",IF(('(0) 4. Resumen Balances (5 Ej.)'!F28+'(0) 4. Resumen Balances (5 Ej.)'!F32)&lt;=0.001,"NS",IF(('(0) 4. Resumen Balances (5 Ej.)'!F19)&lt;0,"NS",('(0) 4. Resumen Balances (5 Ej.)'!F19)/('(0) 4. Resumen Balances (5 Ej.)'!F28+'(0) 4. Resumen Balances (5 Ej.)'!F32))))</f>
        <v/>
      </c>
      <c r="F14" s="147" t="str">
        <f>IF('(0) 4. Resumen Balances (5 Ej.)'!H39=0,"",IF(('(0) 4. Resumen Balances (5 Ej.)'!H28+'(0) 4. Resumen Balances (5 Ej.)'!H32)&lt;=0.001,"NS",IF(('(0) 4. Resumen Balances (5 Ej.)'!H19)&lt;0,"NS",('(0) 4. Resumen Balances (5 Ej.)'!H19)/('(0) 4. Resumen Balances (5 Ej.)'!H28+'(0) 4. Resumen Balances (5 Ej.)'!H32))))</f>
        <v/>
      </c>
      <c r="G14" s="147" t="str">
        <f>IF('(0) 4. Resumen Balances (5 Ej.)'!J39=0,"",IF(('(0) 4. Resumen Balances (5 Ej.)'!J28+'(0) 4. Resumen Balances (5 Ej.)'!J32)&lt;=0.001,"NS",IF(('(0) 4. Resumen Balances (5 Ej.)'!J19)&lt;0,"NS",('(0) 4. Resumen Balances (5 Ej.)'!J19)/('(0) 4. Resumen Balances (5 Ej.)'!J28+'(0) 4. Resumen Balances (5 Ej.)'!J32))))</f>
        <v/>
      </c>
      <c r="H14" s="147" t="str">
        <f>IF('(0) 4. Resumen Balances (5 Ej.)'!L39=0,"",IF(('(0) 4. Resumen Balances (5 Ej.)'!L28+'(0) 4. Resumen Balances (5 Ej.)'!L32)&lt;=0.001,"NS",IF(('(0) 4. Resumen Balances (5 Ej.)'!L19)&lt;0,"NS",('(0) 4. Resumen Balances (5 Ej.)'!L19)/('(0) 4. Resumen Balances (5 Ej.)'!L28+'(0) 4. Resumen Balances (5 Ej.)'!L32))))</f>
        <v/>
      </c>
      <c r="I14" s="196"/>
      <c r="L14" s="1435" t="str">
        <f>IF('(0) 4. Resumen Balances (5 Ej.)'!D39=0,"",IF(('(0) 4. Resumen Balances (5 Ej.)'!D28+'(0) 4. Resumen Balances (5 Ej.)'!D32+'(0) 4. Resumen Balances (5 Ej.)'!D26)&lt;=0.001,"NS",IF(('(0) 4. Resumen Balances (5 Ej.)'!D19)&lt;0,"NS",('(0) 4. Resumen Balances (5 Ej.)'!D19)/('(0) 4. Resumen Balances (5 Ej.)'!D28+'(0) 4. Resumen Balances (5 Ej.)'!D32+'(0) 4. Resumen Balances (5 Ej.)'!D26))))</f>
        <v/>
      </c>
      <c r="M14" s="1435" t="str">
        <f>IF('(0) 4. Resumen Balances (5 Ej.)'!F39=0,"",IF(('(0) 4. Resumen Balances (5 Ej.)'!F28+'(0) 4. Resumen Balances (5 Ej.)'!F32+'(0) 4. Resumen Balances (5 Ej.)'!F26)&lt;=0.001,"NS",IF(('(0) 4. Resumen Balances (5 Ej.)'!F19)&lt;0,"NS",('(0) 4. Resumen Balances (5 Ej.)'!F19)/('(0) 4. Resumen Balances (5 Ej.)'!F28+'(0) 4. Resumen Balances (5 Ej.)'!F32+'(0) 4. Resumen Balances (5 Ej.)'!F26))))</f>
        <v/>
      </c>
      <c r="N14" s="1435" t="str">
        <f>IF('(0) 4. Resumen Balances (5 Ej.)'!H39=0,"",IF(('(0) 4. Resumen Balances (5 Ej.)'!H28+'(0) 4. Resumen Balances (5 Ej.)'!H32+'(0) 4. Resumen Balances (5 Ej.)'!H26)&lt;=0.001,"NS",IF(('(0) 4. Resumen Balances (5 Ej.)'!H19)&lt;0,"NS",('(0) 4. Resumen Balances (5 Ej.)'!H19)/('(0) 4. Resumen Balances (5 Ej.)'!H28+'(0) 4. Resumen Balances (5 Ej.)'!H32+'(0) 4. Resumen Balances (5 Ej.)'!H26))))</f>
        <v/>
      </c>
      <c r="O14" s="1435" t="str">
        <f>IF('(0) 4. Resumen Balances (5 Ej.)'!J39=0,"",IF(('(0) 4. Resumen Balances (5 Ej.)'!J28+'(0) 4. Resumen Balances (5 Ej.)'!J32+'(0) 4. Resumen Balances (5 Ej.)'!J26)&lt;=0.001,"NS",IF(('(0) 4. Resumen Balances (5 Ej.)'!J19)&lt;0,"NS",('(0) 4. Resumen Balances (5 Ej.)'!J19)/('(0) 4. Resumen Balances (5 Ej.)'!J28+'(0) 4. Resumen Balances (5 Ej.)'!J32+'(0) 4. Resumen Balances (5 Ej.)'!J26))))</f>
        <v/>
      </c>
      <c r="P14" s="1435" t="str">
        <f>IF('(0) 4. Resumen Balances (5 Ej.)'!L39=0,"",IF(('(0) 4. Resumen Balances (5 Ej.)'!L28+'(0) 4. Resumen Balances (5 Ej.)'!L32+'(0) 4. Resumen Balances (5 Ej.)'!L26)&lt;=0.001,"NS",IF(('(0) 4. Resumen Balances (5 Ej.)'!L19)&lt;0,"NS",('(0) 4. Resumen Balances (5 Ej.)'!L19)/('(0) 4. Resumen Balances (5 Ej.)'!L28+'(0) 4. Resumen Balances (5 Ej.)'!L32+'(0) 4. Resumen Balances (5 Ej.)'!L26))))</f>
        <v/>
      </c>
      <c r="S14" s="3157"/>
      <c r="T14" s="1363"/>
      <c r="U14" s="3116">
        <f>U11+U8</f>
        <v>0</v>
      </c>
      <c r="V14" s="3112"/>
      <c r="W14" s="3116">
        <f>W11+W8</f>
        <v>0</v>
      </c>
      <c r="X14" s="3112"/>
      <c r="Y14" s="3117">
        <f>Y11+Y8</f>
        <v>0</v>
      </c>
      <c r="Z14" s="3178"/>
      <c r="AA14" s="1427"/>
      <c r="AB14" s="1427"/>
      <c r="AC14" s="3167"/>
      <c r="AD14" s="3124" t="s">
        <v>330</v>
      </c>
      <c r="AE14" s="3125"/>
      <c r="AF14" s="3126">
        <f>'(0) 5. Resumen P y G (5 Ej.)'!L8</f>
        <v>0</v>
      </c>
      <c r="AG14" s="3125"/>
      <c r="AH14" s="3126">
        <f>'(0) 5. Resumen P y G (5 Ej.)'!O8</f>
        <v>0</v>
      </c>
      <c r="AI14" s="3125"/>
      <c r="AJ14" s="3126">
        <f>'(0) 5. Resumen P y G (5 Ej.)'!R8</f>
        <v>0</v>
      </c>
      <c r="AK14" s="3125"/>
      <c r="AL14" s="3168"/>
      <c r="AO14" s="3157"/>
      <c r="AP14" s="3154" t="s">
        <v>568</v>
      </c>
      <c r="AQ14" s="4105">
        <f>'(0) 4. Resumen Balances (5 Ej.)'!G20</f>
        <v>0</v>
      </c>
      <c r="AR14" s="4112">
        <f>'(0) 4. Resumen Balances (5 Ej.)'!H20</f>
        <v>0</v>
      </c>
      <c r="AS14" s="4105">
        <f>'(0) 4. Resumen Balances (5 Ej.)'!I20</f>
        <v>0</v>
      </c>
      <c r="AT14" s="4112">
        <f>'(0) 4. Resumen Balances (5 Ej.)'!J20</f>
        <v>0</v>
      </c>
      <c r="AU14" s="4105">
        <f>'(0) 4. Resumen Balances (5 Ej.)'!K20</f>
        <v>0</v>
      </c>
      <c r="AV14" s="4112">
        <f>'(0) 4. Resumen Balances (5 Ej.)'!L20</f>
        <v>0</v>
      </c>
      <c r="AW14" s="4105">
        <f>'(0) 4. Resumen Balances (5 Ej.)'!M20</f>
        <v>0</v>
      </c>
      <c r="AX14" s="348"/>
      <c r="AY14" s="3163"/>
      <c r="BA14" s="187"/>
    </row>
    <row r="15" spans="1:58" s="154" customFormat="1" ht="31.5" customHeight="1">
      <c r="A15" s="1452" t="s">
        <v>171</v>
      </c>
      <c r="B15" s="1453" t="s">
        <v>176</v>
      </c>
      <c r="C15" s="148" t="str">
        <f>IF(Consolidación?="NO","",IF(('(0) 4. Resumen Balances (5 Ej.)'!B32)&lt;=0.001,"NS",IF(('(0) 4. Resumen Balances (5 Ej.)'!B17+'(0) 4. Resumen Balances (5 Ej.)'!B18)&lt;0,"NS",('(0) 4. Resumen Balances (5 Ej.)'!B17+'(0) 4. Resumen Balances (5 Ej.)'!B18)/('(0) 4. Resumen Balances (5 Ej.)'!B32))))</f>
        <v/>
      </c>
      <c r="D15" s="148" t="str">
        <f>IF('(0) 4. Resumen Balances (5 Ej.)'!D39=0,"",IF(('(0) 4. Resumen Balances (5 Ej.)'!D32)&lt;=0.001,"NS",IF(('(0) 4. Resumen Balances (5 Ej.)'!D17+'(0) 4. Resumen Balances (5 Ej.)'!D18)&lt;0,"NS",('(0) 4. Resumen Balances (5 Ej.)'!D17+'(0) 4. Resumen Balances (5 Ej.)'!D18)/('(0) 4. Resumen Balances (5 Ej.)'!D32))))</f>
        <v/>
      </c>
      <c r="E15" s="148" t="str">
        <f>IF('(0) 4. Resumen Balances (5 Ej.)'!F39=0,"",IF(('(0) 4. Resumen Balances (5 Ej.)'!F32)&lt;=0.001,"NS",IF(('(0) 4. Resumen Balances (5 Ej.)'!F17+'(0) 4. Resumen Balances (5 Ej.)'!F18)&lt;0,"NS",('(0) 4. Resumen Balances (5 Ej.)'!F17+'(0) 4. Resumen Balances (5 Ej.)'!F18)/('(0) 4. Resumen Balances (5 Ej.)'!F32))))</f>
        <v/>
      </c>
      <c r="F15" s="148" t="str">
        <f>IF('(0) 4. Resumen Balances (5 Ej.)'!H39=0,"",IF(('(0) 4. Resumen Balances (5 Ej.)'!H32)&lt;=0.001,"NS",IF(('(0) 4. Resumen Balances (5 Ej.)'!H17+'(0) 4. Resumen Balances (5 Ej.)'!H18)&lt;0,"NS",('(0) 4. Resumen Balances (5 Ej.)'!H17+'(0) 4. Resumen Balances (5 Ej.)'!H18)/('(0) 4. Resumen Balances (5 Ej.)'!H32))))</f>
        <v/>
      </c>
      <c r="G15" s="148" t="str">
        <f>IF('(0) 4. Resumen Balances (5 Ej.)'!J39=0,"",IF(('(0) 4. Resumen Balances (5 Ej.)'!J32)&lt;=0.001,"NS",IF(('(0) 4. Resumen Balances (5 Ej.)'!J17+'(0) 4. Resumen Balances (5 Ej.)'!J18)&lt;0,"NS",('(0) 4. Resumen Balances (5 Ej.)'!J17+'(0) 4. Resumen Balances (5 Ej.)'!J18)/('(0) 4. Resumen Balances (5 Ej.)'!J32))))</f>
        <v/>
      </c>
      <c r="H15" s="148" t="str">
        <f>IF('(0) 4. Resumen Balances (5 Ej.)'!L39=0,"",IF(('(0) 4. Resumen Balances (5 Ej.)'!L32)&lt;=0.001,"NS",IF(('(0) 4. Resumen Balances (5 Ej.)'!L17+'(0) 4. Resumen Balances (5 Ej.)'!L18)&lt;0,"NS",('(0) 4. Resumen Balances (5 Ej.)'!L17+'(0) 4. Resumen Balances (5 Ej.)'!L18)/('(0) 4. Resumen Balances (5 Ej.)'!L32))))</f>
        <v/>
      </c>
      <c r="I15" s="196"/>
      <c r="L15" s="1436" t="str">
        <f>IF('(0) 4. Resumen Balances (5 Ej.)'!D39=0,"",IF(('(0) 4. Resumen Balances (5 Ej.)'!D32)&lt;=0.001,"NS",IF(('(0) 4. Resumen Balances (5 Ej.)'!D17+'(0) 4. Resumen Balances (5 Ej.)'!D18)&lt;0,"NS",('(0) 4. Resumen Balances (5 Ej.)'!D17+'(0) 4. Resumen Balances (5 Ej.)'!D18)/('(0) 4. Resumen Balances (5 Ej.)'!D32))))</f>
        <v/>
      </c>
      <c r="M15" s="1436" t="str">
        <f>IF('(0) 4. Resumen Balances (5 Ej.)'!F39=0,"",IF(('(0) 4. Resumen Balances (5 Ej.)'!F32)&lt;=0.001,"NS",IF(('(0) 4. Resumen Balances (5 Ej.)'!F17+'(0) 4. Resumen Balances (5 Ej.)'!F18)&lt;0,"NS",('(0) 4. Resumen Balances (5 Ej.)'!F17+'(0) 4. Resumen Balances (5 Ej.)'!F18)/('(0) 4. Resumen Balances (5 Ej.)'!F32))))</f>
        <v/>
      </c>
      <c r="N15" s="1436" t="str">
        <f>IF('(0) 4. Resumen Balances (5 Ej.)'!H39=0,"",IF(('(0) 4. Resumen Balances (5 Ej.)'!H32)&lt;=0.001,"NS",IF(('(0) 4. Resumen Balances (5 Ej.)'!H17+'(0) 4. Resumen Balances (5 Ej.)'!H18)&lt;0,"NS",('(0) 4. Resumen Balances (5 Ej.)'!H17+'(0) 4. Resumen Balances (5 Ej.)'!H18)/('(0) 4. Resumen Balances (5 Ej.)'!H32))))</f>
        <v/>
      </c>
      <c r="O15" s="1436" t="str">
        <f>IF('(0) 4. Resumen Balances (5 Ej.)'!J39=0,"",IF(('(0) 4. Resumen Balances (5 Ej.)'!J32)&lt;=0.001,"NS",IF(('(0) 4. Resumen Balances (5 Ej.)'!J17+'(0) 4. Resumen Balances (5 Ej.)'!J18)&lt;0,"NS",('(0) 4. Resumen Balances (5 Ej.)'!J17+'(0) 4. Resumen Balances (5 Ej.)'!J18)/('(0) 4. Resumen Balances (5 Ej.)'!J32))))</f>
        <v/>
      </c>
      <c r="P15" s="1436" t="str">
        <f>IF('(0) 4. Resumen Balances (5 Ej.)'!L39=0,"",IF(('(0) 4. Resumen Balances (5 Ej.)'!L32)&lt;=0.001,"NS",IF(('(0) 4. Resumen Balances (5 Ej.)'!L17+'(0) 4. Resumen Balances (5 Ej.)'!L18)&lt;0,"NS",('(0) 4. Resumen Balances (5 Ej.)'!L17+'(0) 4. Resumen Balances (5 Ej.)'!L18)/('(0) 4. Resumen Balances (5 Ej.)'!L32))))</f>
        <v/>
      </c>
      <c r="S15" s="3157"/>
      <c r="T15" s="1363"/>
      <c r="U15" s="3118"/>
      <c r="V15" s="3112"/>
      <c r="W15" s="3118"/>
      <c r="X15" s="3112"/>
      <c r="Y15" s="3119"/>
      <c r="Z15" s="3177"/>
      <c r="AA15" s="1426"/>
      <c r="AB15" s="1426"/>
      <c r="AC15" s="3167"/>
      <c r="AD15" s="1362"/>
      <c r="AE15" s="1370"/>
      <c r="AF15" s="1369"/>
      <c r="AG15" s="1370"/>
      <c r="AH15" s="1369"/>
      <c r="AI15" s="1370"/>
      <c r="AJ15" s="1369"/>
      <c r="AK15" s="1370"/>
      <c r="AL15" s="3168"/>
      <c r="AO15" s="3157"/>
      <c r="AP15" s="1514" t="s">
        <v>343</v>
      </c>
      <c r="AQ15" s="4106"/>
      <c r="AR15" s="4113"/>
      <c r="AS15" s="4106"/>
      <c r="AT15" s="4113"/>
      <c r="AU15" s="4106"/>
      <c r="AV15" s="4113"/>
      <c r="AW15" s="4106"/>
      <c r="AX15" s="348"/>
      <c r="AY15" s="3163"/>
    </row>
    <row r="16" spans="1:58" s="154" customFormat="1" ht="31.5" customHeight="1" thickBot="1">
      <c r="A16" s="1450" t="s">
        <v>170</v>
      </c>
      <c r="B16" s="1454" t="s">
        <v>172</v>
      </c>
      <c r="C16" s="149" t="str">
        <f>IF(Consolidación?="NO","",IF(('(0) 4. Resumen Balances (5 Ej.)'!B32)&lt;=0.001,"NS",IF(('(0) 4. Resumen Balances (5 Ej.)'!B18)&lt;0,"NO",('(0) 4. Resumen Balances (5 Ej.)'!B18)/('(0) 4. Resumen Balances (5 Ej.)'!B32))))</f>
        <v/>
      </c>
      <c r="D16" s="149" t="str">
        <f>IF('(0) 4. Resumen Balances (5 Ej.)'!D39=0,"",IF(('(0) 4. Resumen Balances (5 Ej.)'!D32)&lt;=0.001,"NS",IF(('(0) 4. Resumen Balances (5 Ej.)'!D18)&lt;0,"NS",('(0) 4. Resumen Balances (5 Ej.)'!D18)/('(0) 4. Resumen Balances (5 Ej.)'!D32))))</f>
        <v/>
      </c>
      <c r="E16" s="149" t="str">
        <f>IF('(0) 4. Resumen Balances (5 Ej.)'!F39=0,"",IF(('(0) 4. Resumen Balances (5 Ej.)'!F32)&lt;=0.001,"NS",IF(('(0) 4. Resumen Balances (5 Ej.)'!F18)&lt;0,"NS",('(0) 4. Resumen Balances (5 Ej.)'!F18)/('(0) 4. Resumen Balances (5 Ej.)'!F32))))</f>
        <v/>
      </c>
      <c r="F16" s="149" t="str">
        <f>IF('(0) 4. Resumen Balances (5 Ej.)'!H39=0,"",IF(('(0) 4. Resumen Balances (5 Ej.)'!H32)&lt;=0.001,"NS",IF(('(0) 4. Resumen Balances (5 Ej.)'!H18)&lt;0,"NS",('(0) 4. Resumen Balances (5 Ej.)'!H18)/('(0) 4. Resumen Balances (5 Ej.)'!H32))))</f>
        <v/>
      </c>
      <c r="G16" s="149" t="str">
        <f>IF('(0) 4. Resumen Balances (5 Ej.)'!J39=0,"",IF(('(0) 4. Resumen Balances (5 Ej.)'!J32)&lt;=0.001,"NS",IF(('(0) 4. Resumen Balances (5 Ej.)'!J18)&lt;0,"NS",('(0) 4. Resumen Balances (5 Ej.)'!J18)/('(0) 4. Resumen Balances (5 Ej.)'!J32))))</f>
        <v/>
      </c>
      <c r="H16" s="149" t="str">
        <f>IF('(0) 4. Resumen Balances (5 Ej.)'!L39=0,"",IF(('(0) 4. Resumen Balances (5 Ej.)'!L32)&lt;=0.001,"NS",IF(('(0) 4. Resumen Balances (5 Ej.)'!L18)&lt;0,"NS",('(0) 4. Resumen Balances (5 Ej.)'!L18)/('(0) 4. Resumen Balances (5 Ej.)'!L32))))</f>
        <v/>
      </c>
      <c r="I16" s="196"/>
      <c r="L16" s="1436" t="str">
        <f>IF('(0) 4. Resumen Balances (5 Ej.)'!D39=0,"",IF(('(0) 4. Resumen Balances (5 Ej.)'!D32)&lt;=0.001,"NS",IF(('(0) 4. Resumen Balances (5 Ej.)'!D18)&lt;0,"NS",('(0) 4. Resumen Balances (5 Ej.)'!D18)/('(0) 4. Resumen Balances (5 Ej.)'!D32))))</f>
        <v/>
      </c>
      <c r="M16" s="1436" t="str">
        <f>IF('(0) 4. Resumen Balances (5 Ej.)'!F39=0,"",IF(('(0) 4. Resumen Balances (5 Ej.)'!F32)&lt;=0.001,"NS",IF(('(0) 4. Resumen Balances (5 Ej.)'!F18)&lt;0,"NS",('(0) 4. Resumen Balances (5 Ej.)'!F18)/('(0) 4. Resumen Balances (5 Ej.)'!F32))))</f>
        <v/>
      </c>
      <c r="N16" s="1436" t="str">
        <f>IF('(0) 4. Resumen Balances (5 Ej.)'!H39=0,"",IF(('(0) 4. Resumen Balances (5 Ej.)'!H32)&lt;=0.001,"NS",IF(('(0) 4. Resumen Balances (5 Ej.)'!H18)&lt;0,"NS",('(0) 4. Resumen Balances (5 Ej.)'!H18)/('(0) 4. Resumen Balances (5 Ej.)'!H32))))</f>
        <v/>
      </c>
      <c r="O16" s="1436" t="str">
        <f>IF('(0) 4. Resumen Balances (5 Ej.)'!J39=0,"",IF(('(0) 4. Resumen Balances (5 Ej.)'!J32)&lt;=0.001,"NS",IF(('(0) 4. Resumen Balances (5 Ej.)'!J18)&lt;0,"NS",('(0) 4. Resumen Balances (5 Ej.)'!J18)/('(0) 4. Resumen Balances (5 Ej.)'!J32))))</f>
        <v/>
      </c>
      <c r="P16" s="1436" t="str">
        <f>IF('(0) 4. Resumen Balances (5 Ej.)'!L39=0,"",IF(('(0) 4. Resumen Balances (5 Ej.)'!L32)&lt;=0.001,"NS",IF(('(0) 4. Resumen Balances (5 Ej.)'!L18)&lt;0,"NS",('(0) 4. Resumen Balances (5 Ej.)'!L18)/('(0) 4. Resumen Balances (5 Ej.)'!L32))))</f>
        <v/>
      </c>
      <c r="S16" s="3157"/>
      <c r="T16" s="1364"/>
      <c r="U16" s="3132">
        <f>'(0) 4. Resumen Balances (5 Ej.)'!H19</f>
        <v>0</v>
      </c>
      <c r="V16" s="3120"/>
      <c r="W16" s="3132">
        <f>'(0) 4. Resumen Balances (5 Ej.)'!J19</f>
        <v>0</v>
      </c>
      <c r="X16" s="3120"/>
      <c r="Y16" s="3133">
        <f>'(0) 4. Resumen Balances (5 Ej.)'!L19</f>
        <v>0</v>
      </c>
      <c r="Z16" s="3179"/>
      <c r="AA16" s="1428"/>
      <c r="AB16" s="1428"/>
      <c r="AC16" s="3167"/>
      <c r="AD16" s="3127" t="s">
        <v>533</v>
      </c>
      <c r="AE16" s="202"/>
      <c r="AF16" s="3128">
        <f>'(0) 5. Resumen P y G (5 Ej.)'!J18</f>
        <v>0</v>
      </c>
      <c r="AG16" s="3125" t="str">
        <f>'(0) 5. Resumen P y G (5 Ej.)'!K18</f>
        <v/>
      </c>
      <c r="AH16" s="3128">
        <f>'(0) 5. Resumen P y G (5 Ej.)'!M18</f>
        <v>0</v>
      </c>
      <c r="AI16" s="3125" t="str">
        <f>'(0) 5. Resumen P y G (5 Ej.)'!N18</f>
        <v/>
      </c>
      <c r="AJ16" s="3128">
        <f>'(0) 5. Resumen P y G (5 Ej.)'!P18</f>
        <v>0</v>
      </c>
      <c r="AK16" s="3125" t="str">
        <f>'(0) 5. Resumen P y G (5 Ej.)'!Q18</f>
        <v/>
      </c>
      <c r="AL16" s="3168"/>
      <c r="AO16" s="3157"/>
      <c r="AP16" s="1362"/>
      <c r="AQ16" s="1362"/>
      <c r="AR16" s="1362"/>
      <c r="AS16" s="1362"/>
      <c r="AT16" s="1362"/>
      <c r="AU16" s="1362"/>
      <c r="AV16" s="1362"/>
      <c r="AW16" s="1362"/>
      <c r="AX16" s="348"/>
      <c r="AY16" s="3163"/>
    </row>
    <row r="17" spans="1:58" s="154" customFormat="1" ht="17.25" customHeight="1" thickBot="1">
      <c r="A17" s="197"/>
      <c r="B17" s="197"/>
      <c r="C17" s="200"/>
      <c r="D17" s="201"/>
      <c r="E17" s="201"/>
      <c r="F17" s="201"/>
      <c r="G17" s="201"/>
      <c r="H17" s="201"/>
      <c r="I17" s="196"/>
      <c r="L17" s="4180" t="str">
        <f>L12</f>
        <v>Incluye Préstamos Participativos como Deuda</v>
      </c>
      <c r="M17" s="4181"/>
      <c r="N17" s="4181"/>
      <c r="O17" s="4181"/>
      <c r="P17" s="4181"/>
      <c r="S17" s="3157"/>
      <c r="T17" s="1363"/>
      <c r="U17" s="3121"/>
      <c r="V17" s="3112"/>
      <c r="W17" s="3121"/>
      <c r="X17" s="3112"/>
      <c r="Y17" s="3122"/>
      <c r="Z17" s="3178"/>
      <c r="AA17" s="1427"/>
      <c r="AB17" s="1427"/>
      <c r="AC17" s="3167"/>
      <c r="AD17" s="3129" t="s">
        <v>307</v>
      </c>
      <c r="AE17" s="202"/>
      <c r="AF17" s="3130">
        <f>'(0) 5. Resumen P y G (5 Ej.)'!J35</f>
        <v>0</v>
      </c>
      <c r="AG17" s="3131" t="str">
        <f>'(0) 5. Resumen P y G (5 Ej.)'!K35</f>
        <v/>
      </c>
      <c r="AH17" s="3130">
        <f>'(0) 5. Resumen P y G (5 Ej.)'!M35</f>
        <v>0</v>
      </c>
      <c r="AI17" s="3131" t="str">
        <f>'(0) 5. Resumen P y G (5 Ej.)'!N35</f>
        <v/>
      </c>
      <c r="AJ17" s="3130">
        <f>'(0) 5. Resumen P y G (5 Ej.)'!P35</f>
        <v>0</v>
      </c>
      <c r="AK17" s="3131" t="str">
        <f>'(0) 5. Resumen P y G (5 Ej.)'!Q35</f>
        <v/>
      </c>
      <c r="AL17" s="3168"/>
      <c r="AO17" s="3157"/>
      <c r="AP17" s="4163" t="s">
        <v>537</v>
      </c>
      <c r="AQ17" s="4103"/>
      <c r="AR17" s="4132" t="str">
        <f>'(0) 6. Mas Indicadores-Objetiv'!F6</f>
        <v/>
      </c>
      <c r="AS17" s="4165"/>
      <c r="AT17" s="4132" t="str">
        <f>'(0) 6. Mas Indicadores-Objetiv'!G6</f>
        <v/>
      </c>
      <c r="AU17" s="4103"/>
      <c r="AV17" s="4132" t="str">
        <f>'(0) 6. Mas Indicadores-Objetiv'!H6</f>
        <v/>
      </c>
      <c r="AW17" s="4103"/>
      <c r="AX17" s="348"/>
      <c r="AY17" s="3163"/>
    </row>
    <row r="18" spans="1:58" s="154" customFormat="1" ht="33" customHeight="1" thickBot="1">
      <c r="A18" s="3207" t="s">
        <v>164</v>
      </c>
      <c r="B18" s="3208" t="str">
        <f>B5</f>
        <v>Fórmulas</v>
      </c>
      <c r="C18" s="3209">
        <f>(Año_Com_Ejerc_0)</f>
        <v>-1</v>
      </c>
      <c r="D18" s="3210" t="str">
        <f>D13</f>
        <v>1º ej.0</v>
      </c>
      <c r="E18" s="3211" t="str">
        <f>E13</f>
        <v>2º ej.1</v>
      </c>
      <c r="F18" s="3212" t="str">
        <f>F13</f>
        <v>3º ej.2</v>
      </c>
      <c r="G18" s="3212" t="str">
        <f>G13</f>
        <v>4º ej.3</v>
      </c>
      <c r="H18" s="3212" t="str">
        <f>H13</f>
        <v>5º ej.4</v>
      </c>
      <c r="I18" s="196"/>
      <c r="L18" s="1266" t="str">
        <f>D18</f>
        <v>1º ej.0</v>
      </c>
      <c r="M18" s="1266" t="str">
        <f>E18</f>
        <v>2º ej.1</v>
      </c>
      <c r="N18" s="1266" t="str">
        <f>F18</f>
        <v>3º ej.2</v>
      </c>
      <c r="O18" s="1266" t="str">
        <f>G18</f>
        <v>4º ej.3</v>
      </c>
      <c r="P18" s="1266" t="str">
        <f>H18</f>
        <v>5º ej.4</v>
      </c>
      <c r="S18" s="3157"/>
      <c r="T18" s="1363"/>
      <c r="U18" s="3123">
        <f>U20+U23</f>
        <v>0</v>
      </c>
      <c r="V18" s="3112"/>
      <c r="W18" s="3123">
        <f>W20+W23</f>
        <v>0</v>
      </c>
      <c r="X18" s="3112"/>
      <c r="Y18" s="3123">
        <f>Y20+Y23</f>
        <v>0</v>
      </c>
      <c r="Z18" s="3177"/>
      <c r="AA18" s="1426"/>
      <c r="AB18" s="1426"/>
      <c r="AC18" s="3167"/>
      <c r="AD18" s="4156" t="s">
        <v>534</v>
      </c>
      <c r="AE18" s="202"/>
      <c r="AF18" s="4154">
        <f>'(0) 5. Resumen P y G (5 Ej.)'!J38</f>
        <v>0</v>
      </c>
      <c r="AG18" s="4143" t="str">
        <f>'(0) 5. Resumen P y G (5 Ej.)'!K38</f>
        <v/>
      </c>
      <c r="AH18" s="4154">
        <f>'(0) 5. Resumen P y G (5 Ej.)'!M38</f>
        <v>0</v>
      </c>
      <c r="AI18" s="4143" t="str">
        <f>'(0) 5. Resumen P y G (5 Ej.)'!N38</f>
        <v/>
      </c>
      <c r="AJ18" s="4154">
        <f>'(0) 5. Resumen P y G (5 Ej.)'!P38</f>
        <v>0</v>
      </c>
      <c r="AK18" s="4143" t="str">
        <f>'(0) 5. Resumen P y G (5 Ej.)'!Q38</f>
        <v/>
      </c>
      <c r="AL18" s="3168"/>
      <c r="AO18" s="3157"/>
      <c r="AP18" s="4164"/>
      <c r="AQ18" s="4104"/>
      <c r="AR18" s="4102"/>
      <c r="AS18" s="4166"/>
      <c r="AT18" s="4102"/>
      <c r="AU18" s="4104"/>
      <c r="AV18" s="4102"/>
      <c r="AW18" s="4104"/>
      <c r="AX18" s="348"/>
      <c r="AY18" s="3163"/>
    </row>
    <row r="19" spans="1:58" s="154" customFormat="1" ht="31.5" customHeight="1">
      <c r="A19" s="1448" t="s">
        <v>182</v>
      </c>
      <c r="B19" s="1451" t="s">
        <v>263</v>
      </c>
      <c r="C19" s="158" t="str">
        <f>IF(Consolidación?="NO","",IF(('(0) 4. Resumen Balances (5 Ej.)'!B39)&lt;=0.001,"NS",IF(('(0) 4. Resumen Balances (5 Ej.)'!B28+'(0) 4. Resumen Balances (5 Ej.)'!B32)&lt;0,"NS",(('(0) 4. Resumen Balances (5 Ej.)'!B28+'(0) 4. Resumen Balances (5 Ej.)'!B32))/('(0) 4. Resumen Balances (5 Ej.)'!B39))))</f>
        <v/>
      </c>
      <c r="D19" s="158" t="str">
        <f>IF('(0) 4. Resumen Balances (5 Ej.)'!D39=0,"",IF(('(0) 4. Resumen Balances (5 Ej.)'!D39)&lt;=0.001,"NS",IF(('(0) 4. Resumen Balances (5 Ej.)'!D28+'(0) 4. Resumen Balances (5 Ej.)'!D32)&lt;0,"NS",(('(0) 4. Resumen Balances (5 Ej.)'!D28+'(0) 4. Resumen Balances (5 Ej.)'!D32))/('(0) 4. Resumen Balances (5 Ej.)'!D39))))</f>
        <v/>
      </c>
      <c r="E19" s="158" t="str">
        <f>IF('(0) 4. Resumen Balances (5 Ej.)'!F39=0,"",IF(('(0) 4. Resumen Balances (5 Ej.)'!F39)&lt;=0.001,"NS",IF(('(0) 4. Resumen Balances (5 Ej.)'!F28+'(0) 4. Resumen Balances (5 Ej.)'!F32)&lt;0,"NS",(('(0) 4. Resumen Balances (5 Ej.)'!F28+'(0) 4. Resumen Balances (5 Ej.)'!F32))/('(0) 4. Resumen Balances (5 Ej.)'!F39))))</f>
        <v/>
      </c>
      <c r="F19" s="158" t="str">
        <f>IF('(0) 4. Resumen Balances (5 Ej.)'!H39=0,"",IF(('(0) 4. Resumen Balances (5 Ej.)'!H39)&lt;=0.001,"NS",IF(('(0) 4. Resumen Balances (5 Ej.)'!H28+'(0) 4. Resumen Balances (5 Ej.)'!H32)&lt;0,"NS",(('(0) 4. Resumen Balances (5 Ej.)'!H28+'(0) 4. Resumen Balances (5 Ej.)'!H32))/('(0) 4. Resumen Balances (5 Ej.)'!H39))))</f>
        <v/>
      </c>
      <c r="G19" s="158" t="str">
        <f>IF('(0) 4. Resumen Balances (5 Ej.)'!J39=0,"",IF(('(0) 4. Resumen Balances (5 Ej.)'!J39)&lt;=0.001,"NS",IF(('(0) 4. Resumen Balances (5 Ej.)'!J28+'(0) 4. Resumen Balances (5 Ej.)'!J32)&lt;0,"NS",(('(0) 4. Resumen Balances (5 Ej.)'!J28+'(0) 4. Resumen Balances (5 Ej.)'!J32))/('(0) 4. Resumen Balances (5 Ej.)'!J39))))</f>
        <v/>
      </c>
      <c r="H19" s="158" t="str">
        <f>IF('(0) 4. Resumen Balances (5 Ej.)'!L39=0,"",IF(('(0) 4. Resumen Balances (5 Ej.)'!L39)&lt;=0.001,"NS",IF(('(0) 4. Resumen Balances (5 Ej.)'!L28+'(0) 4. Resumen Balances (5 Ej.)'!L32)&lt;0,"NS",(('(0) 4. Resumen Balances (5 Ej.)'!L28+'(0) 4. Resumen Balances (5 Ej.)'!L32))/('(0) 4. Resumen Balances (5 Ej.)'!L39))))</f>
        <v/>
      </c>
      <c r="I19" s="196"/>
      <c r="L19" s="1437" t="str">
        <f>IF('(0) 4. Resumen Balances (5 Ej.)'!D39=0,"",IF(('(0) 4. Resumen Balances (5 Ej.)'!D39)&lt;=0.001,"NS",IF(('(0) 4. Resumen Balances (5 Ej.)'!D28+'(0) 4. Resumen Balances (5 Ej.)'!D32+'(0) 4. Resumen Balances (5 Ej.)'!D26)&lt;0,"NS",(('(0) 4. Resumen Balances (5 Ej.)'!D28+'(0) 4. Resumen Balances (5 Ej.)'!D32+'(0) 4. Resumen Balances (5 Ej.)'!D26))/('(0) 4. Resumen Balances (5 Ej.)'!D39))))</f>
        <v/>
      </c>
      <c r="M19" s="1437" t="str">
        <f>IF('(0) 4. Resumen Balances (5 Ej.)'!F39=0,"",IF(('(0) 4. Resumen Balances (5 Ej.)'!F39)&lt;=0.001,"NS",IF(('(0) 4. Resumen Balances (5 Ej.)'!F28+'(0) 4. Resumen Balances (5 Ej.)'!F32+'(0) 4. Resumen Balances (5 Ej.)'!F26)&lt;0,"NS",(('(0) 4. Resumen Balances (5 Ej.)'!F28+'(0) 4. Resumen Balances (5 Ej.)'!F32+'(0) 4. Resumen Balances (5 Ej.)'!F26))/('(0) 4. Resumen Balances (5 Ej.)'!F39))))</f>
        <v/>
      </c>
      <c r="N19" s="1437" t="str">
        <f>IF('(0) 4. Resumen Balances (5 Ej.)'!H39=0,"",IF(('(0) 4. Resumen Balances (5 Ej.)'!H39)&lt;=0.001,"NS",IF(('(0) 4. Resumen Balances (5 Ej.)'!H28+'(0) 4. Resumen Balances (5 Ej.)'!H32+'(0) 4. Resumen Balances (5 Ej.)'!H26)&lt;0,"NS",(('(0) 4. Resumen Balances (5 Ej.)'!H28+'(0) 4. Resumen Balances (5 Ej.)'!H32+'(0) 4. Resumen Balances (5 Ej.)'!H26))/('(0) 4. Resumen Balances (5 Ej.)'!H39))))</f>
        <v/>
      </c>
      <c r="O19" s="1437" t="str">
        <f>IF('(0) 4. Resumen Balances (5 Ej.)'!J39=0,"",IF(('(0) 4. Resumen Balances (5 Ej.)'!J39)&lt;=0.001,"NS",IF(('(0) 4. Resumen Balances (5 Ej.)'!J28+'(0) 4. Resumen Balances (5 Ej.)'!J32+'(0) 4. Resumen Balances (5 Ej.)'!J26)&lt;0,"NS",(('(0) 4. Resumen Balances (5 Ej.)'!J28+'(0) 4. Resumen Balances (5 Ej.)'!J32+'(0) 4. Resumen Balances (5 Ej.)'!J26))/('(0) 4. Resumen Balances (5 Ej.)'!J39))))</f>
        <v/>
      </c>
      <c r="P19" s="1437" t="str">
        <f>IF('(0) 4. Resumen Balances (5 Ej.)'!L39=0,"",IF(('(0) 4. Resumen Balances (5 Ej.)'!L39)&lt;=0.001,"NS",IF(('(0) 4. Resumen Balances (5 Ej.)'!L28+'(0) 4. Resumen Balances (5 Ej.)'!L32+'(0) 4. Resumen Balances (5 Ej.)'!L26)&lt;0,"NS",(('(0) 4. Resumen Balances (5 Ej.)'!L28+'(0) 4. Resumen Balances (5 Ej.)'!L32+'(0) 4. Resumen Balances (5 Ej.)'!L26))/('(0) 4. Resumen Balances (5 Ej.)'!L39))))</f>
        <v/>
      </c>
      <c r="S19" s="3157"/>
      <c r="T19" s="1363"/>
      <c r="U19" s="3115"/>
      <c r="V19" s="3112"/>
      <c r="W19" s="3115"/>
      <c r="X19" s="3112"/>
      <c r="Y19" s="3112"/>
      <c r="Z19" s="3177"/>
      <c r="AA19" s="1426"/>
      <c r="AB19" s="1426"/>
      <c r="AC19" s="3167"/>
      <c r="AD19" s="4157"/>
      <c r="AE19" s="202"/>
      <c r="AF19" s="4155"/>
      <c r="AG19" s="4144"/>
      <c r="AH19" s="4155"/>
      <c r="AI19" s="4144"/>
      <c r="AJ19" s="4155"/>
      <c r="AK19" s="4144"/>
      <c r="AL19" s="3168"/>
      <c r="AO19" s="3157"/>
      <c r="AP19" s="1362"/>
      <c r="AQ19" s="1362"/>
      <c r="AR19" s="1362"/>
      <c r="AS19" s="1362"/>
      <c r="AT19" s="1362"/>
      <c r="AU19" s="1362"/>
      <c r="AV19" s="1362"/>
      <c r="AW19" s="1362"/>
      <c r="AX19" s="348"/>
      <c r="AY19" s="3163"/>
    </row>
    <row r="20" spans="1:58" s="154" customFormat="1" ht="31.5" customHeight="1">
      <c r="A20" s="1455" t="s">
        <v>596</v>
      </c>
      <c r="B20" s="1453" t="s">
        <v>597</v>
      </c>
      <c r="C20" s="1490" t="str">
        <f>IF(Consolidación?="NO","",IF(('(0) 4. Resumen Balances (5 Ej.)'!B40)&lt;=0.001,"NS",IF(('(0) 4. Resumen Balances (5 Ej.)'!B29+'(0) 4. Resumen Balances (5 Ej.)'!B33)&lt;0,"NS",(('(0) 4. Resumen Balances (5 Ej.)'!B29+'(0) 4. Resumen Balances (5 Ej.)'!B33))/('(0) 4. Resumen Balances (5 Ej.)'!B40))))</f>
        <v/>
      </c>
      <c r="D20" s="1490" t="str">
        <f>IF('(0) 4. Resumen Balances (5 Ej.)'!D45=0,"",IF(('(0) 4. Resumen Balances (5 Ej.)'!D45)&lt;=0.001,"NS",IF(('(0) 4. Resumen Balances (5 Ej.)'!D28)&lt;0,"NS",(('(0) 4. Resumen Balances (5 Ej.)'!D28))/('(0) 4. Resumen Balances (5 Ej.)'!D45))))</f>
        <v/>
      </c>
      <c r="E20" s="1490" t="str">
        <f>IF('(0) 4. Resumen Balances (5 Ej.)'!F45=0,"",IF(('(0) 4. Resumen Balances (5 Ej.)'!F45)&lt;=0.001,"NS",IF(('(0) 4. Resumen Balances (5 Ej.)'!F28)&lt;0,"NS",(('(0) 4. Resumen Balances (5 Ej.)'!F28))/('(0) 4. Resumen Balances (5 Ej.)'!F45))))</f>
        <v/>
      </c>
      <c r="F20" s="1490" t="str">
        <f>IF('(0) 4. Resumen Balances (5 Ej.)'!H45=0,"",IF(('(0) 4. Resumen Balances (5 Ej.)'!H45)&lt;=0.001,"NS",IF(('(0) 4. Resumen Balances (5 Ej.)'!H28)&lt;0,"NS",(('(0) 4. Resumen Balances (5 Ej.)'!H28))/('(0) 4. Resumen Balances (5 Ej.)'!H45))))</f>
        <v/>
      </c>
      <c r="G20" s="1490" t="str">
        <f>IF('(0) 4. Resumen Balances (5 Ej.)'!J45=0,"",IF(('(0) 4. Resumen Balances (5 Ej.)'!J45)&lt;=0.001,"NS",IF(('(0) 4. Resumen Balances (5 Ej.)'!J28)&lt;0,"NS",(('(0) 4. Resumen Balances (5 Ej.)'!J28))/('(0) 4. Resumen Balances (5 Ej.)'!J45))))</f>
        <v/>
      </c>
      <c r="H20" s="1490" t="str">
        <f>IF('(0) 4. Resumen Balances (5 Ej.)'!L45=0,"",IF(('(0) 4. Resumen Balances (5 Ej.)'!L45)&lt;=0.001,"NS",IF(('(0) 4. Resumen Balances (5 Ej.)'!L28)&lt;0,"NS",(('(0) 4. Resumen Balances (5 Ej.)'!L28))/('(0) 4. Resumen Balances (5 Ej.)'!L45))))</f>
        <v/>
      </c>
      <c r="L20" s="1491" t="str">
        <f>IF('(0) 4. Resumen Balances (5 Ej.)'!D45=0,"",IF(('(0) 4. Resumen Balances (5 Ej.)'!D45)&lt;=0.001,"NS",IF(('(0) 4. Resumen Balances (5 Ej.)'!D28)&lt;0,"NS",(('(0) 4. Resumen Balances (5 Ej.)'!D28))/('(0) 4. Resumen Balances (5 Ej.)'!D45+'(0) 4. Resumen Balances (5 Ej.)'!D26))))</f>
        <v/>
      </c>
      <c r="M20" s="1491" t="str">
        <f>IF('(0) 4. Resumen Balances (5 Ej.)'!F45=0,"",IF(('(0) 4. Resumen Balances (5 Ej.)'!F45)&lt;=0.001,"NS",IF(('(0) 4. Resumen Balances (5 Ej.)'!F28)&lt;0,"NS",(('(0) 4. Resumen Balances (5 Ej.)'!F28))/('(0) 4. Resumen Balances (5 Ej.)'!F45+'(0) 4. Resumen Balances (5 Ej.)'!F26))))</f>
        <v/>
      </c>
      <c r="N20" s="1491" t="str">
        <f>IF('(0) 4. Resumen Balances (5 Ej.)'!H45=0,"",IF(('(0) 4. Resumen Balances (5 Ej.)'!H45)&lt;=0.001,"NS",IF(('(0) 4. Resumen Balances (5 Ej.)'!H28)&lt;0,"NS",(('(0) 4. Resumen Balances (5 Ej.)'!H28))/('(0) 4. Resumen Balances (5 Ej.)'!H45+'(0) 4. Resumen Balances (5 Ej.)'!H26))))</f>
        <v/>
      </c>
      <c r="O20" s="1491" t="str">
        <f>IF('(0) 4. Resumen Balances (5 Ej.)'!J45=0,"",IF(('(0) 4. Resumen Balances (5 Ej.)'!J45)&lt;=0.001,"NS",IF(('(0) 4. Resumen Balances (5 Ej.)'!J28)&lt;0,"NS",(('(0) 4. Resumen Balances (5 Ej.)'!J28))/('(0) 4. Resumen Balances (5 Ej.)'!J45+'(0) 4. Resumen Balances (5 Ej.)'!J26))))</f>
        <v/>
      </c>
      <c r="P20" s="1491" t="str">
        <f>IF('(0) 4. Resumen Balances (5 Ej.)'!L45=0,"",IF(('(0) 4. Resumen Balances (5 Ej.)'!L45)&lt;=0.001,"NS",IF(('(0) 4. Resumen Balances (5 Ej.)'!L28)&lt;0,"NS",(('(0) 4. Resumen Balances (5 Ej.)'!L28))/('(0) 4. Resumen Balances (5 Ej.)'!L45+'(0) 4. Resumen Balances (5 Ej.)'!L26))))</f>
        <v/>
      </c>
      <c r="S20" s="3157"/>
      <c r="T20" s="1462"/>
      <c r="U20" s="4173">
        <f>'(0) 4. Resumen Balances (5 Ej.)'!I20</f>
        <v>0</v>
      </c>
      <c r="V20" s="3113"/>
      <c r="W20" s="4173">
        <f>'(0) 4. Resumen Balances (5 Ej.)'!K20</f>
        <v>0</v>
      </c>
      <c r="X20" s="3113"/>
      <c r="Y20" s="4139">
        <f>'(0) 4. Resumen Balances (5 Ej.)'!M20</f>
        <v>0</v>
      </c>
      <c r="Z20" s="3175"/>
      <c r="AA20" s="1424"/>
      <c r="AB20" s="1424"/>
      <c r="AC20" s="3167"/>
      <c r="AD20" s="4160" t="s">
        <v>535</v>
      </c>
      <c r="AE20" s="202"/>
      <c r="AF20" s="4148">
        <f>'(0) 5. Resumen P y G (5 Ej.)'!J46</f>
        <v>0</v>
      </c>
      <c r="AG20" s="4158" t="str">
        <f>'(0) 5. Resumen P y G (5 Ej.)'!K46</f>
        <v/>
      </c>
      <c r="AH20" s="4148">
        <f>'(0) 5. Resumen P y G (5 Ej.)'!M46</f>
        <v>0</v>
      </c>
      <c r="AI20" s="4158" t="str">
        <f>'(0) 5. Resumen P y G (5 Ej.)'!N46</f>
        <v/>
      </c>
      <c r="AJ20" s="4148">
        <f>'(0) 5. Resumen P y G (5 Ej.)'!P46</f>
        <v>0</v>
      </c>
      <c r="AK20" s="4158" t="str">
        <f>'(0) 5. Resumen P y G (5 Ej.)'!Q46</f>
        <v/>
      </c>
      <c r="AL20" s="3168"/>
      <c r="AO20" s="3157"/>
      <c r="AP20" s="4163" t="s">
        <v>538</v>
      </c>
      <c r="AQ20" s="4103"/>
      <c r="AR20" s="4101" t="str">
        <f>'(0) 6. Mas Indicadores-Objetiv'!F8</f>
        <v/>
      </c>
      <c r="AS20" s="4165"/>
      <c r="AT20" s="4101" t="str">
        <f>'(0) 6. Mas Indicadores-Objetiv'!G8</f>
        <v/>
      </c>
      <c r="AU20" s="4103"/>
      <c r="AV20" s="4101" t="str">
        <f>'(0) 6. Mas Indicadores-Objetiv'!H8</f>
        <v/>
      </c>
      <c r="AW20" s="4103"/>
      <c r="AX20" s="348"/>
      <c r="AY20" s="3163"/>
    </row>
    <row r="21" spans="1:58" s="154" customFormat="1" ht="34.5" customHeight="1" thickBot="1">
      <c r="A21" s="1455" t="s">
        <v>598</v>
      </c>
      <c r="B21" s="1453" t="s">
        <v>181</v>
      </c>
      <c r="C21" s="150" t="str">
        <f>IF(Consolidación?="NO","",IF(('(0) 4. Resumen Balances (5 Ej.)'!B29+'(0) 4. Resumen Balances (5 Ej.)'!B30+'(0) 4. Resumen Balances (5 Ej.)'!B34)=0,"NS",IF(('(0) 5. Resumen P y G (5 Ej.)'!B46+'(0) 5. Resumen P y G (5 Ej.)'!B36)&lt;0,"NS",IF(('(0) 5. Resumen P y G (5 Ej.)'!B46+'(0) 5. Resumen P y G (5 Ej.)'!B36)&gt;('(0) 4. Resumen Balances (5 Ej.)'!B29+'(0) 4. Resumen Balances (5 Ej.)'!B30+'(0) 4. Resumen Balances (5 Ej.)'!B34),1,('(0) 5. Resumen P y G (5 Ej.)'!B46+'(0) 5. Resumen P y G (5 Ej.)'!B36)/('(0) 4. Resumen Balances (5 Ej.)'!B29+'(0) 4. Resumen Balances (5 Ej.)'!B30+'(0) 4. Resumen Balances (5 Ej.)'!B34)))))</f>
        <v/>
      </c>
      <c r="D21" s="150" t="str">
        <f>IF('(0) 4. Resumen Balances (5 Ej.)'!D39=0,"",IF(('(0) 4. Resumen Balances (5 Ej.)'!D29+'(0) 4. Resumen Balances (5 Ej.)'!D30+'(0) 4. Resumen Balances (5 Ej.)'!D34+'(0) 4. Resumen Balances (5 Ej.)'!D33)=0,"NS",IF(('(0) 5. Resumen P y G (5 Ej.)'!D46+'(0) 5. Resumen P y G (5 Ej.)'!D36)&lt;0,"NS",IF(('(0) 5. Resumen P y G (5 Ej.)'!D46+'(0) 5. Resumen P y G (5 Ej.)'!D36)&gt;('(0) 4. Resumen Balances (5 Ej.)'!D29+'(0) 4. Resumen Balances (5 Ej.)'!D30+'(0) 4. Resumen Balances (5 Ej.)'!D34+'(0) 4. Resumen Balances (5 Ej.)'!D33),1,('(0) 5. Resumen P y G (5 Ej.)'!D46+'(0) 5. Resumen P y G (5 Ej.)'!D36)/('(0) 4. Resumen Balances (5 Ej.)'!D29+'(0) 4. Resumen Balances (5 Ej.)'!D30+'(0) 4. Resumen Balances (5 Ej.)'!D34+'(0) 4. Resumen Balances (5 Ej.)'!D33)))))</f>
        <v/>
      </c>
      <c r="E21" s="150" t="str">
        <f>IF('(0) 4. Resumen Balances (5 Ej.)'!F39=0,"",IF(('(0) 4. Resumen Balances (5 Ej.)'!F29+'(0) 4. Resumen Balances (5 Ej.)'!F30+'(0) 4. Resumen Balances (5 Ej.)'!F34+'(0) 4. Resumen Balances (5 Ej.)'!F33)=0,"NS",IF(('(0) 5. Resumen P y G (5 Ej.)'!G46+'(0) 5. Resumen P y G (5 Ej.)'!G36)&lt;0,"NS",IF(('(0) 5. Resumen P y G (5 Ej.)'!G46+'(0) 5. Resumen P y G (5 Ej.)'!G36)&gt;('(0) 4. Resumen Balances (5 Ej.)'!F29+'(0) 4. Resumen Balances (5 Ej.)'!F30+'(0) 4. Resumen Balances (5 Ej.)'!F34+'(0) 4. Resumen Balances (5 Ej.)'!F33),1,('(0) 5. Resumen P y G (5 Ej.)'!G46+'(0) 5. Resumen P y G (5 Ej.)'!G36)/('(0) 4. Resumen Balances (5 Ej.)'!F29+'(0) 4. Resumen Balances (5 Ej.)'!F30+'(0) 4. Resumen Balances (5 Ej.)'!F34+'(0) 4. Resumen Balances (5 Ej.)'!F33)))))</f>
        <v/>
      </c>
      <c r="F21" s="150" t="str">
        <f>IF('(0) 4. Resumen Balances (5 Ej.)'!H39=0,"",IF(('(0) 4. Resumen Balances (5 Ej.)'!H29+'(0) 4. Resumen Balances (5 Ej.)'!H30+'(0) 4. Resumen Balances (5 Ej.)'!H34+'(0) 4. Resumen Balances (5 Ej.)'!H33)=0,"NS",IF(('(0) 5. Resumen P y G (5 Ej.)'!J46+'(0) 5. Resumen P y G (5 Ej.)'!J36)&lt;0,"NS",IF(('(0) 5. Resumen P y G (5 Ej.)'!J46+'(0) 5. Resumen P y G (5 Ej.)'!J36)&gt;('(0) 4. Resumen Balances (5 Ej.)'!H29+'(0) 4. Resumen Balances (5 Ej.)'!H30+'(0) 4. Resumen Balances (5 Ej.)'!H34+'(0) 4. Resumen Balances (5 Ej.)'!H33),1,('(0) 5. Resumen P y G (5 Ej.)'!J46+'(0) 5. Resumen P y G (5 Ej.)'!J36)/('(0) 4. Resumen Balances (5 Ej.)'!H29+'(0) 4. Resumen Balances (5 Ej.)'!H30+'(0) 4. Resumen Balances (5 Ej.)'!H34+'(0) 4. Resumen Balances (5 Ej.)'!H33)))))</f>
        <v/>
      </c>
      <c r="G21" s="150" t="str">
        <f>IF('(0) 4. Resumen Balances (5 Ej.)'!J39=0,"",IF(('(0) 4. Resumen Balances (5 Ej.)'!J29+'(0) 4. Resumen Balances (5 Ej.)'!J30+'(0) 4. Resumen Balances (5 Ej.)'!J34+'(0) 4. Resumen Balances (5 Ej.)'!J33)=0,"NS",IF(('(0) 5. Resumen P y G (5 Ej.)'!M46+'(0) 5. Resumen P y G (5 Ej.)'!M36)&lt;0,"NS",IF(('(0) 5. Resumen P y G (5 Ej.)'!M46+'(0) 5. Resumen P y G (5 Ej.)'!M36)&gt;('(0) 4. Resumen Balances (5 Ej.)'!J29+'(0) 4. Resumen Balances (5 Ej.)'!J30+'(0) 4. Resumen Balances (5 Ej.)'!J34+'(0) 4. Resumen Balances (5 Ej.)'!J33),1,('(0) 5. Resumen P y G (5 Ej.)'!M46+'(0) 5. Resumen P y G (5 Ej.)'!M36)/('(0) 4. Resumen Balances (5 Ej.)'!J29+'(0) 4. Resumen Balances (5 Ej.)'!J30+'(0) 4. Resumen Balances (5 Ej.)'!J34+'(0) 4. Resumen Balances (5 Ej.)'!J33)))))</f>
        <v/>
      </c>
      <c r="H21" s="150" t="str">
        <f>IF('(0) 4. Resumen Balances (5 Ej.)'!L39=0,"",IF(('(0) 4. Resumen Balances (5 Ej.)'!L29+'(0) 4. Resumen Balances (5 Ej.)'!L30+'(0) 4. Resumen Balances (5 Ej.)'!L34+'(0) 4. Resumen Balances (5 Ej.)'!L33)=0,"NS",IF(('(0) 5. Resumen P y G (5 Ej.)'!P46+'(0) 5. Resumen P y G (5 Ej.)'!P36)&lt;0,"NS",IF(('(0) 5. Resumen P y G (5 Ej.)'!P46+'(0) 5. Resumen P y G (5 Ej.)'!P36)&gt;('(0) 4. Resumen Balances (5 Ej.)'!L29+'(0) 4. Resumen Balances (5 Ej.)'!L30+'(0) 4. Resumen Balances (5 Ej.)'!L34+'(0) 4. Resumen Balances (5 Ej.)'!L33),1,('(0) 5. Resumen P y G (5 Ej.)'!P46+'(0) 5. Resumen P y G (5 Ej.)'!P36)/('(0) 4. Resumen Balances (5 Ej.)'!L29+'(0) 4. Resumen Balances (5 Ej.)'!L30+'(0) 4. Resumen Balances (5 Ej.)'!L34+'(0) 4. Resumen Balances (5 Ej.)'!L33)))))</f>
        <v/>
      </c>
      <c r="I21" s="1466" t="s">
        <v>493</v>
      </c>
      <c r="L21" s="1492" t="str">
        <f>IF('(0) 4. Resumen Balances (5 Ej.)'!D39=0,"",IF(('(0) 4. Resumen Balances (5 Ej.)'!D29+'(0) 4. Resumen Balances (5 Ej.)'!D30+'(0) 4. Resumen Balances (5 Ej.)'!D34+'(0) 4. Resumen Balances (5 Ej.)'!D33+'(0) 4. Resumen Balances (5 Ej.)'!D26)=0,"NS",IF(('(0) 5. Resumen P y G (5 Ej.)'!D46+'(0) 5. Resumen P y G (5 Ej.)'!D36)&lt;0,"NS",IF(('(0) 5. Resumen P y G (5 Ej.)'!D46+'(0) 5. Resumen P y G (5 Ej.)'!D36)&gt;('(0) 4. Resumen Balances (5 Ej.)'!D29+'(0) 4. Resumen Balances (5 Ej.)'!D30+'(0) 4. Resumen Balances (5 Ej.)'!D34+'(0) 4. Resumen Balances (5 Ej.)'!D33+'(0) 4. Resumen Balances (5 Ej.)'!D26),1,('(0) 5. Resumen P y G (5 Ej.)'!D46+'(0) 5. Resumen P y G (5 Ej.)'!D36)/('(0) 4. Resumen Balances (5 Ej.)'!D29+'(0) 4. Resumen Balances (5 Ej.)'!D30+'(0) 4. Resumen Balances (5 Ej.)'!D34+'(0) 4. Resumen Balances (5 Ej.)'!D33+'(0) 4. Resumen Balances (5 Ej.)'!D26)))))</f>
        <v/>
      </c>
      <c r="M21" s="1492" t="str">
        <f>IF('(0) 4. Resumen Balances (5 Ej.)'!F39=0,"",IF(('(0) 4. Resumen Balances (5 Ej.)'!F29+'(0) 4. Resumen Balances (5 Ej.)'!F30+'(0) 4. Resumen Balances (5 Ej.)'!F34+'(0) 4. Resumen Balances (5 Ej.)'!F33+'(0) 4. Resumen Balances (5 Ej.)'!F26)=0,"NS",IF(('(0) 5. Resumen P y G (5 Ej.)'!G46+'(0) 5. Resumen P y G (5 Ej.)'!G36)&lt;0,"NS",IF(('(0) 5. Resumen P y G (5 Ej.)'!G46+'(0) 5. Resumen P y G (5 Ej.)'!G36)&gt;('(0) 4. Resumen Balances (5 Ej.)'!F29+'(0) 4. Resumen Balances (5 Ej.)'!F30+'(0) 4. Resumen Balances (5 Ej.)'!F34+'(0) 4. Resumen Balances (5 Ej.)'!F33+'(0) 4. Resumen Balances (5 Ej.)'!F26),1,('(0) 5. Resumen P y G (5 Ej.)'!G46+'(0) 5. Resumen P y G (5 Ej.)'!G36)/('(0) 4. Resumen Balances (5 Ej.)'!F29+'(0) 4. Resumen Balances (5 Ej.)'!F30+'(0) 4. Resumen Balances (5 Ej.)'!F34+'(0) 4. Resumen Balances (5 Ej.)'!F33+'(0) 4. Resumen Balances (5 Ej.)'!F26)))))</f>
        <v/>
      </c>
      <c r="N21" s="1492" t="str">
        <f>IF('(0) 4. Resumen Balances (5 Ej.)'!H39=0,"",IF(('(0) 4. Resumen Balances (5 Ej.)'!H29+'(0) 4. Resumen Balances (5 Ej.)'!H30+'(0) 4. Resumen Balances (5 Ej.)'!H34+'(0) 4. Resumen Balances (5 Ej.)'!H33+'(0) 4. Resumen Balances (5 Ej.)'!H26)=0,"NS",IF(('(0) 5. Resumen P y G (5 Ej.)'!J46+'(0) 5. Resumen P y G (5 Ej.)'!J36)&lt;0,"NS",IF(('(0) 5. Resumen P y G (5 Ej.)'!J46+'(0) 5. Resumen P y G (5 Ej.)'!J36)&gt;('(0) 4. Resumen Balances (5 Ej.)'!H29+'(0) 4. Resumen Balances (5 Ej.)'!H30+'(0) 4. Resumen Balances (5 Ej.)'!H34+'(0) 4. Resumen Balances (5 Ej.)'!H33+'(0) 4. Resumen Balances (5 Ej.)'!H26),1,('(0) 5. Resumen P y G (5 Ej.)'!J46+'(0) 5. Resumen P y G (5 Ej.)'!J36)/('(0) 4. Resumen Balances (5 Ej.)'!H29+'(0) 4. Resumen Balances (5 Ej.)'!H30+'(0) 4. Resumen Balances (5 Ej.)'!H34+'(0) 4. Resumen Balances (5 Ej.)'!H33+'(0) 4. Resumen Balances (5 Ej.)'!H26)))))</f>
        <v/>
      </c>
      <c r="O21" s="1492" t="str">
        <f>IF('(0) 4. Resumen Balances (5 Ej.)'!J39=0,"",IF(('(0) 4. Resumen Balances (5 Ej.)'!J29+'(0) 4. Resumen Balances (5 Ej.)'!J30+'(0) 4. Resumen Balances (5 Ej.)'!J34+'(0) 4. Resumen Balances (5 Ej.)'!J33+'(0) 4. Resumen Balances (5 Ej.)'!J26)=0,"NS",IF(('(0) 5. Resumen P y G (5 Ej.)'!M46+'(0) 5. Resumen P y G (5 Ej.)'!M36)&lt;0,"NS",IF(('(0) 5. Resumen P y G (5 Ej.)'!M46+'(0) 5. Resumen P y G (5 Ej.)'!M36)&gt;('(0) 4. Resumen Balances (5 Ej.)'!J29+'(0) 4. Resumen Balances (5 Ej.)'!J30+'(0) 4. Resumen Balances (5 Ej.)'!J34+'(0) 4. Resumen Balances (5 Ej.)'!J33+'(0) 4. Resumen Balances (5 Ej.)'!J26),1,('(0) 5. Resumen P y G (5 Ej.)'!M46+'(0) 5. Resumen P y G (5 Ej.)'!M36)/('(0) 4. Resumen Balances (5 Ej.)'!J29+'(0) 4. Resumen Balances (5 Ej.)'!J30+'(0) 4. Resumen Balances (5 Ej.)'!J34+'(0) 4. Resumen Balances (5 Ej.)'!J33+'(0) 4. Resumen Balances (5 Ej.)'!J26)))))</f>
        <v/>
      </c>
      <c r="P21" s="1492" t="str">
        <f>IF('(0) 4. Resumen Balances (5 Ej.)'!L39=0,"",IF(('(0) 4. Resumen Balances (5 Ej.)'!L29+'(0) 4. Resumen Balances (5 Ej.)'!L30+'(0) 4. Resumen Balances (5 Ej.)'!L34+'(0) 4. Resumen Balances (5 Ej.)'!L33+'(0) 4. Resumen Balances (5 Ej.)'!L26)=0,"NS",IF(('(0) 5. Resumen P y G (5 Ej.)'!P46+'(0) 5. Resumen P y G (5 Ej.)'!P36)&lt;0,"NS",IF(('(0) 5. Resumen P y G (5 Ej.)'!P46+'(0) 5. Resumen P y G (5 Ej.)'!P36)&gt;('(0) 4. Resumen Balances (5 Ej.)'!L29+'(0) 4. Resumen Balances (5 Ej.)'!L30+'(0) 4. Resumen Balances (5 Ej.)'!L34+'(0) 4. Resumen Balances (5 Ej.)'!L33+'(0) 4. Resumen Balances (5 Ej.)'!L26),1,('(0) 5. Resumen P y G (5 Ej.)'!P46+'(0) 5. Resumen P y G (5 Ej.)'!P36)/('(0) 4. Resumen Balances (5 Ej.)'!L29+'(0) 4. Resumen Balances (5 Ej.)'!L30+'(0) 4. Resumen Balances (5 Ej.)'!L34+'(0) 4. Resumen Balances (5 Ej.)'!L33+'(0) 4. Resumen Balances (5 Ej.)'!L26)))))</f>
        <v/>
      </c>
      <c r="S21" s="3157"/>
      <c r="T21" s="1462"/>
      <c r="U21" s="4174"/>
      <c r="V21" s="3113"/>
      <c r="W21" s="4174"/>
      <c r="X21" s="3113"/>
      <c r="Y21" s="4140"/>
      <c r="Z21" s="3176"/>
      <c r="AA21" s="1425"/>
      <c r="AB21" s="1425"/>
      <c r="AC21" s="3167"/>
      <c r="AD21" s="4161"/>
      <c r="AE21" s="202"/>
      <c r="AF21" s="4149"/>
      <c r="AG21" s="4159"/>
      <c r="AH21" s="4149"/>
      <c r="AI21" s="4159"/>
      <c r="AJ21" s="4149"/>
      <c r="AK21" s="4159"/>
      <c r="AL21" s="3168"/>
      <c r="AO21" s="3157"/>
      <c r="AP21" s="4164"/>
      <c r="AQ21" s="4104"/>
      <c r="AR21" s="4102"/>
      <c r="AS21" s="4166"/>
      <c r="AT21" s="4102"/>
      <c r="AU21" s="4104"/>
      <c r="AV21" s="4102"/>
      <c r="AW21" s="4104"/>
      <c r="AX21" s="348"/>
      <c r="AY21" s="3163"/>
    </row>
    <row r="22" spans="1:58" s="154" customFormat="1" ht="30.75" customHeight="1" thickBot="1">
      <c r="A22" s="1493" t="s">
        <v>599</v>
      </c>
      <c r="B22" s="1457" t="s">
        <v>223</v>
      </c>
      <c r="C22" s="1494" t="str">
        <f>IF(Consolidación?="NO","",IF(('(0) 5. Resumen P y G (5 Ej.)'!B39)&lt;=0.001,"NS",IF(('(0) 5. Resumen P y G (5 Ej.)'!B38)&lt;0,"NS",('(0) 5. Resumen P y G (5 Ej.)'!B38)/('(0) 5. Resumen P y G (5 Ej.)'!B39))))</f>
        <v/>
      </c>
      <c r="D22" s="1494" t="str">
        <f>IF('(0) 5. Resumen P y G (5 Ej.)'!D8=0,"",IF(('(0) 5. Resumen P y G (5 Ej.)'!D39)&lt;=0.001,"NS",IF(('(0) 5. Resumen P y G (5 Ej.)'!D38)&lt;0,"NS",('(0) 5. Resumen P y G (5 Ej.)'!D38)/('(0) 5. Resumen P y G (5 Ej.)'!D39))))</f>
        <v/>
      </c>
      <c r="E22" s="1494" t="str">
        <f>IF('(0) 5. Resumen P y G (5 Ej.)'!G8=0,"",IF(('(0) 5. Resumen P y G (5 Ej.)'!G39)&lt;=0.001,"NS",IF(('(0) 5. Resumen P y G (5 Ej.)'!G38)&lt;0,"NS",('(0) 5. Resumen P y G (5 Ej.)'!G38)/('(0) 5. Resumen P y G (5 Ej.)'!G39))))</f>
        <v/>
      </c>
      <c r="F22" s="1494" t="str">
        <f>IF('(0) 5. Resumen P y G (5 Ej.)'!J8=0,"",IF(('(0) 5. Resumen P y G (5 Ej.)'!J39)&lt;=0.001,"NS",IF(('(0) 5. Resumen P y G (5 Ej.)'!J38)&lt;0,"NS",('(0) 5. Resumen P y G (5 Ej.)'!J38)/('(0) 5. Resumen P y G (5 Ej.)'!J39))))</f>
        <v/>
      </c>
      <c r="G22" s="1494" t="str">
        <f>IF('(0) 5. Resumen P y G (5 Ej.)'!M8=0,"",IF(('(0) 5. Resumen P y G (5 Ej.)'!M39)&lt;=0.001,"NS",IF(('(0) 5. Resumen P y G (5 Ej.)'!M38)&lt;0,"NS",('(0) 5. Resumen P y G (5 Ej.)'!M38)/('(0) 5. Resumen P y G (5 Ej.)'!M39))))</f>
        <v/>
      </c>
      <c r="H22" s="1494" t="str">
        <f>IF('(0) 5. Resumen P y G (5 Ej.)'!P8=0,"",IF(('(0) 5. Resumen P y G (5 Ej.)'!P39)&lt;=0.001,"NS",IF(('(0) 5. Resumen P y G (5 Ej.)'!P38)&lt;0,"NS",('(0) 5. Resumen P y G (5 Ej.)'!P38)/('(0) 5. Resumen P y G (5 Ej.)'!P39))))</f>
        <v/>
      </c>
      <c r="S22" s="3157"/>
      <c r="T22" s="1462"/>
      <c r="U22" s="3114"/>
      <c r="V22" s="3113"/>
      <c r="W22" s="3114"/>
      <c r="X22" s="3113"/>
      <c r="Y22" s="3113"/>
      <c r="Z22" s="3177"/>
      <c r="AA22" s="1426"/>
      <c r="AB22" s="1426"/>
      <c r="AC22" s="3167"/>
      <c r="AD22" s="1371"/>
      <c r="AE22" s="1370"/>
      <c r="AF22" s="1369"/>
      <c r="AG22" s="1370"/>
      <c r="AH22" s="1369"/>
      <c r="AI22" s="1370"/>
      <c r="AJ22" s="1369"/>
      <c r="AK22" s="1370"/>
      <c r="AL22" s="3168"/>
      <c r="AO22" s="3157"/>
      <c r="AP22" s="1362"/>
      <c r="AQ22" s="1362"/>
      <c r="AR22" s="1362"/>
      <c r="AS22" s="1362"/>
      <c r="AT22" s="1362"/>
      <c r="AU22" s="1362"/>
      <c r="AV22" s="1362"/>
      <c r="AW22" s="1362"/>
      <c r="AX22" s="348"/>
      <c r="AY22" s="3163"/>
    </row>
    <row r="23" spans="1:58" s="154" customFormat="1" ht="16.5" customHeight="1" thickBot="1">
      <c r="A23" s="1495"/>
      <c r="B23" s="1496"/>
      <c r="C23" s="1496"/>
      <c r="D23" s="1497"/>
      <c r="E23" s="1498"/>
      <c r="F23" s="1498"/>
      <c r="G23" s="1498"/>
      <c r="H23" s="1498"/>
      <c r="I23" s="196"/>
      <c r="L23" s="1439"/>
      <c r="M23" s="4177" t="s">
        <v>165</v>
      </c>
      <c r="N23" s="4178"/>
      <c r="O23" s="4178"/>
      <c r="P23" s="4179"/>
      <c r="S23" s="3157"/>
      <c r="T23" s="1462"/>
      <c r="U23" s="4173">
        <f>'(0) 4. Resumen Balances (5 Ej.)'!I28+'(0) 4. Resumen Balances (5 Ej.)'!I32</f>
        <v>0</v>
      </c>
      <c r="V23" s="3113"/>
      <c r="W23" s="4173">
        <f>'(0) 4. Resumen Balances (5 Ej.)'!K28+'(0) 4. Resumen Balances (5 Ej.)'!K32</f>
        <v>0</v>
      </c>
      <c r="X23" s="3113"/>
      <c r="Y23" s="4139">
        <f>'(0) 4. Resumen Balances (5 Ej.)'!M28+'(0) 4. Resumen Balances (5 Ej.)'!M32</f>
        <v>0</v>
      </c>
      <c r="Z23" s="3175"/>
      <c r="AA23" s="1424"/>
      <c r="AB23" s="1424"/>
      <c r="AC23" s="3167"/>
      <c r="AD23" s="1372" t="s">
        <v>536</v>
      </c>
      <c r="AE23" s="202"/>
      <c r="AF23" s="1373">
        <f>'(0) 5. Resumen P y G (5 Ej.)'!J49</f>
        <v>0</v>
      </c>
      <c r="AG23" s="1374" t="str">
        <f>'(0) 5. Resumen P y G (5 Ej.)'!K49</f>
        <v/>
      </c>
      <c r="AH23" s="1373">
        <f>'(0) 5. Resumen P y G (5 Ej.)'!M49</f>
        <v>0</v>
      </c>
      <c r="AI23" s="1374" t="str">
        <f>'(0) 5. Resumen P y G (5 Ej.)'!N49</f>
        <v/>
      </c>
      <c r="AJ23" s="1373">
        <f>'(0) 5. Resumen P y G (5 Ej.)'!P49</f>
        <v>0</v>
      </c>
      <c r="AK23" s="1374" t="str">
        <f>'(0) 5. Resumen P y G (5 Ej.)'!Q49</f>
        <v/>
      </c>
      <c r="AL23" s="3168"/>
      <c r="AO23" s="3157"/>
      <c r="AP23" s="4137" t="s">
        <v>547</v>
      </c>
      <c r="AQ23" s="4105" t="s">
        <v>443</v>
      </c>
      <c r="AR23" s="4118" t="str">
        <f>'(0) 6. Mas Indicadores-Objetiv'!F15</f>
        <v/>
      </c>
      <c r="AS23" s="4105" t="s">
        <v>443</v>
      </c>
      <c r="AT23" s="4118" t="str">
        <f>'(0) 6. Mas Indicadores-Objetiv'!G15</f>
        <v/>
      </c>
      <c r="AU23" s="4105" t="s">
        <v>443</v>
      </c>
      <c r="AV23" s="4118" t="str">
        <f>'(0) 6. Mas Indicadores-Objetiv'!H15</f>
        <v/>
      </c>
      <c r="AW23" s="4105" t="s">
        <v>443</v>
      </c>
      <c r="AX23" s="348"/>
      <c r="AY23" s="3163"/>
    </row>
    <row r="24" spans="1:58" s="154" customFormat="1" ht="30.75" customHeight="1" thickBot="1">
      <c r="A24" s="3207" t="s">
        <v>165</v>
      </c>
      <c r="B24" s="3208" t="str">
        <f>B5</f>
        <v>Fórmulas</v>
      </c>
      <c r="C24" s="3209">
        <f>(Año_Com_Ejerc_0)</f>
        <v>-1</v>
      </c>
      <c r="D24" s="3212" t="str">
        <f>D13</f>
        <v>1º ej.0</v>
      </c>
      <c r="I24" s="196"/>
      <c r="L24" s="1439"/>
      <c r="M24" s="1267" t="str">
        <f>E18</f>
        <v>2º ej.1</v>
      </c>
      <c r="N24" s="1268" t="str">
        <f>F18</f>
        <v>3º ej.2</v>
      </c>
      <c r="O24" s="1268" t="str">
        <f>G18</f>
        <v>4º ej.3</v>
      </c>
      <c r="P24" s="1268" t="str">
        <f>H18</f>
        <v>5º ej.4</v>
      </c>
      <c r="S24" s="3157"/>
      <c r="T24" s="1462"/>
      <c r="U24" s="4174"/>
      <c r="V24" s="3113"/>
      <c r="W24" s="4174"/>
      <c r="X24" s="3113"/>
      <c r="Y24" s="4140"/>
      <c r="Z24" s="3176"/>
      <c r="AA24" s="1425"/>
      <c r="AB24" s="1425"/>
      <c r="AC24" s="3167"/>
      <c r="AD24" s="348"/>
      <c r="AE24" s="348"/>
      <c r="AF24" s="348"/>
      <c r="AG24" s="348"/>
      <c r="AH24" s="348"/>
      <c r="AI24" s="348"/>
      <c r="AJ24" s="348"/>
      <c r="AK24" s="348"/>
      <c r="AL24" s="3168"/>
      <c r="AO24" s="3157"/>
      <c r="AP24" s="4138"/>
      <c r="AQ24" s="4107"/>
      <c r="AR24" s="4119"/>
      <c r="AS24" s="4107"/>
      <c r="AT24" s="4119"/>
      <c r="AU24" s="4107"/>
      <c r="AV24" s="4119"/>
      <c r="AW24" s="4107"/>
      <c r="AX24" s="348"/>
      <c r="AY24" s="3163"/>
    </row>
    <row r="25" spans="1:58" s="154" customFormat="1" ht="30.75" customHeight="1" thickBot="1">
      <c r="A25" s="1452" t="s">
        <v>173</v>
      </c>
      <c r="B25" s="1453" t="s">
        <v>175</v>
      </c>
      <c r="C25" s="203" t="str">
        <f>IF(Consolidación?="NO","",IF('(0) 5. Resumen P y G (5 Ej.)'!B8&lt;=0,"NS",IF('(0) 1a. Activos de Partida'!B36=0,0,(('(0) 1a. Activos de Partida'!B36)/('(0) 5. Resumen P y G (5 Ej.)'!B8))*365)))</f>
        <v/>
      </c>
      <c r="D25" s="204" t="str">
        <f>IF('(0) 4. Resumen Balances (5 Ej.)'!D39=0,"",IF(('(0) 5. Resumen P y G (5 Ej.)'!D8)&lt;=0,"NS",('2.Ventas y Cobros (Ej 1º,2º)'!G41*1+'2.Ventas y Cobros (Ej 1º,2º)'!G42*30+'2.Ventas y Cobros (Ej 1º,2º)'!G43*45+'2.Ventas y Cobros (Ej 1º,2º)'!G44*60+'2.Ventas y Cobros (Ej 1º,2º)'!G45*90+'2.Ventas y Cobros (Ej 1º,2º)'!G46*120+'2.Ventas y Cobros (Ej 1º,2º)'!G47*150+'2.Ventas y Cobros (Ej 1º,2º)'!G48*180+'2.Ventas y Cobros (Ej 1º,2º)'!G49*210)))</f>
        <v/>
      </c>
      <c r="E25" s="196"/>
      <c r="I25" s="196"/>
      <c r="L25" s="1439"/>
      <c r="M25" s="1440" t="str">
        <f>IF('(0) 4. Resumen Balances (5 Ej.)'!F39=0,"",IF(('(0) 5. Resumen P y G (5 Ej.)'!G8)&lt;=0,"NS",('2.Ventas y Cobros (Ej 1º,2º)'!Z41*1+'2.Ventas y Cobros (Ej 1º,2º)'!Z42*30+'2.Ventas y Cobros (Ej 1º,2º)'!Z43*45+'2.Ventas y Cobros (Ej 1º,2º)'!Z44*60+'2.Ventas y Cobros (Ej 1º,2º)'!Z45*90+'2.Ventas y Cobros (Ej 1º,2º)'!Z46*120+'2.Ventas y Cobros (Ej 1º,2º)'!Z47*150+'2.Ventas y Cobros (Ej 1º,2º)'!Z48*180+'2.Ventas y Cobros (Ej 1º,2º)'!Z49*210)))</f>
        <v/>
      </c>
      <c r="N25" s="1441" t="str">
        <f>IF('(0) 5. Resumen P y G (5 Ej.)'!J8=0,"",('(0) 4. Resumen Balances (5 Ej.)'!H17/'(0) 5. Resumen P y G (5 Ej.)'!J8)*365)</f>
        <v/>
      </c>
      <c r="O25" s="1442" t="str">
        <f>IF('(0) 5. Resumen P y G (5 Ej.)'!M8=0,"",('(0) 4. Resumen Balances (5 Ej.)'!J17/'(0) 5. Resumen P y G (5 Ej.)'!M8)*365)</f>
        <v/>
      </c>
      <c r="P25" s="1442" t="str">
        <f>IF('(0) 5. Resumen P y G (5 Ej.)'!P8=0,"",('(0) 4. Resumen Balances (5 Ej.)'!L17/'(0) 5. Resumen P y G (5 Ej.)'!P8)*365)</f>
        <v/>
      </c>
      <c r="S25" s="3158"/>
      <c r="T25" s="3180"/>
      <c r="U25" s="3181"/>
      <c r="V25" s="3182"/>
      <c r="W25" s="3181"/>
      <c r="X25" s="3182"/>
      <c r="Y25" s="3181"/>
      <c r="Z25" s="3183"/>
      <c r="AA25" s="1425"/>
      <c r="AB25" s="1425"/>
      <c r="AC25" s="3169"/>
      <c r="AD25" s="3170" t="s">
        <v>349</v>
      </c>
      <c r="AE25" s="3170"/>
      <c r="AF25" s="3170"/>
      <c r="AG25" s="3170"/>
      <c r="AH25" s="3170"/>
      <c r="AI25" s="3170"/>
      <c r="AJ25" s="3170"/>
      <c r="AK25" s="3170"/>
      <c r="AL25" s="3171"/>
      <c r="AO25" s="3157"/>
      <c r="AP25" s="1362"/>
      <c r="AQ25" s="1362"/>
      <c r="AR25" s="1362"/>
      <c r="AS25" s="1362"/>
      <c r="AT25" s="1362"/>
      <c r="AU25" s="1362"/>
      <c r="AV25" s="1362"/>
      <c r="AW25" s="1362"/>
      <c r="AX25" s="348"/>
      <c r="AY25" s="3163"/>
    </row>
    <row r="26" spans="1:58" s="154" customFormat="1" ht="30.75" customHeight="1" thickBot="1">
      <c r="A26" s="1456" t="s">
        <v>174</v>
      </c>
      <c r="B26" s="1457" t="s">
        <v>190</v>
      </c>
      <c r="C26" s="205" t="str">
        <f>IF(Consolidación?="NO","",IF('(0) 5. Resumen P y G (5 Ej.)'!B47=0,"NS",IF((Acreedores_Comerciales)=0,0,((Acreedores_Comerciales)/('(0) 5. Resumen P y G (5 Ej.)'!B47))*365)))</f>
        <v/>
      </c>
      <c r="D26" s="206" t="str">
        <f>IF('(0) 4. Resumen Balances (5 Ej.)'!D39=0,"",IF(('3.Costes D.V. y Pagos (1º,2º)'!P25)&lt;=0,"NS",('3.Costes D.V. y Pagos (1º,2º)'!G53*1+'3.Costes D.V. y Pagos (1º,2º)'!G54*30+'3.Costes D.V. y Pagos (1º,2º)'!G55*45+'3.Costes D.V. y Pagos (1º,2º)'!G56*60+'3.Costes D.V. y Pagos (1º,2º)'!G57*90+'3.Costes D.V. y Pagos (1º,2º)'!G58*120+'3.Costes D.V. y Pagos (1º,2º)'!G59*150+'3.Costes D.V. y Pagos (1º,2º)'!G60*180+'3.Costes D.V. y Pagos (1º,2º)'!G61*210)))</f>
        <v/>
      </c>
      <c r="E26" s="196"/>
      <c r="I26" s="196"/>
      <c r="L26" s="1439"/>
      <c r="M26" s="1443" t="str">
        <f>IF('(0) 4. Resumen Balances (5 Ej.)'!F39=0,"",IF(('3.Costes D.V. y Pagos (1º,2º)'!AK25)&lt;=0,"NS",('3.Costes D.V. y Pagos (1º,2º)'!AB53*1+'3.Costes D.V. y Pagos (1º,2º)'!AB54*30+'3.Costes D.V. y Pagos (1º,2º)'!AB55*45+'3.Costes D.V. y Pagos (1º,2º)'!AB56*60+'3.Costes D.V. y Pagos (1º,2º)'!AB57*90+'3.Costes D.V. y Pagos (1º,2º)'!AB58*120+'3.Costes D.V. y Pagos (1º,2º)'!AB59*150+'3.Costes D.V. y Pagos (1º,2º)'!AB60*180+'3.Costes D.V. y Pagos (1º,2º)'!AB61*210)))</f>
        <v/>
      </c>
      <c r="N26" s="1444" t="e">
        <f>('(0) 4. Resumen Balances (5 Ej.)'!H35/'(0) 5. Resumen P y G (5 Ej.)'!J47)*365</f>
        <v>#DIV/0!</v>
      </c>
      <c r="O26" s="1445" t="e">
        <f>('(0) 4. Resumen Balances (5 Ej.)'!J35/'(0) 5. Resumen P y G (5 Ej.)'!M47)*365</f>
        <v>#DIV/0!</v>
      </c>
      <c r="P26" s="1445" t="e">
        <f>('(0) 4. Resumen Balances (5 Ej.)'!L35/'(0) 5. Resumen P y G (5 Ej.)'!P47)*365</f>
        <v>#DIV/0!</v>
      </c>
      <c r="AC26" s="341"/>
      <c r="AE26" s="341"/>
      <c r="AF26" s="341"/>
      <c r="AG26" s="341"/>
      <c r="AH26" s="341"/>
      <c r="AI26" s="341"/>
      <c r="AJ26" s="341"/>
      <c r="AK26" s="341"/>
      <c r="AL26" s="341"/>
      <c r="AO26" s="3157"/>
      <c r="AP26" s="4114" t="s">
        <v>539</v>
      </c>
      <c r="AQ26" s="4105"/>
      <c r="AR26" s="4116" t="str">
        <f>'(0) 6. Mas Indicadores-Objetiv'!F19</f>
        <v/>
      </c>
      <c r="AS26" s="4105"/>
      <c r="AT26" s="4116" t="str">
        <f>'(0) 6. Mas Indicadores-Objetiv'!G19</f>
        <v/>
      </c>
      <c r="AU26" s="4105"/>
      <c r="AV26" s="4116" t="str">
        <f>'(0) 6. Mas Indicadores-Objetiv'!H19</f>
        <v/>
      </c>
      <c r="AW26" s="4105"/>
      <c r="AX26" s="348"/>
      <c r="AY26" s="3163"/>
    </row>
    <row r="27" spans="1:58" s="154" customFormat="1" ht="17.25" customHeight="1" thickBot="1">
      <c r="Q27" s="196"/>
      <c r="R27" s="196"/>
      <c r="S27" s="196"/>
      <c r="T27" s="196"/>
      <c r="U27" s="196"/>
      <c r="V27" s="196"/>
      <c r="W27" s="196"/>
      <c r="AC27" s="341"/>
      <c r="AD27" s="1085" t="s">
        <v>338</v>
      </c>
      <c r="AE27" s="341"/>
      <c r="AF27" s="341"/>
      <c r="AG27" s="341"/>
      <c r="AH27" s="341"/>
      <c r="AI27" s="341"/>
      <c r="AJ27" s="341"/>
      <c r="AK27" s="341"/>
      <c r="AL27" s="341"/>
      <c r="AO27" s="3157"/>
      <c r="AP27" s="4115"/>
      <c r="AQ27" s="4107"/>
      <c r="AR27" s="4117"/>
      <c r="AS27" s="4107"/>
      <c r="AT27" s="4117"/>
      <c r="AU27" s="4107"/>
      <c r="AV27" s="4117"/>
      <c r="AW27" s="4107"/>
      <c r="AX27" s="348"/>
      <c r="AY27" s="3163"/>
      <c r="BB27" s="1379"/>
      <c r="BC27" s="1379" t="s">
        <v>565</v>
      </c>
      <c r="BD27" s="1379"/>
      <c r="BE27" s="1379"/>
      <c r="BF27" s="1379"/>
    </row>
    <row r="28" spans="1:58" ht="41.25" customHeight="1" thickBot="1">
      <c r="A28" s="3213" t="s">
        <v>49</v>
      </c>
      <c r="B28" s="1458" t="s">
        <v>241</v>
      </c>
      <c r="C28" s="151" t="str">
        <f>IF(Consolidación?="NO","",('(0) 4. Resumen Balances (5 Ej.)'!B20+'(0) 4. Resumen Balances (5 Ej.)'!B28)-('(0) 4. Resumen Balances (5 Ej.)'!B7))</f>
        <v/>
      </c>
      <c r="D28" s="151" t="str">
        <f>IF(('(0) 4. Resumen Balances (5 Ej.)'!D20+'(0) 4. Resumen Balances (5 Ej.)'!D28)-('(0) 4. Resumen Balances (5 Ej.)'!D7)=0,"",('(0) 4. Resumen Balances (5 Ej.)'!D20+'(0) 4. Resumen Balances (5 Ej.)'!D28)-('(0) 4. Resumen Balances (5 Ej.)'!D7))</f>
        <v/>
      </c>
      <c r="E28" s="151" t="str">
        <f>IF(('(0) 4. Resumen Balances (5 Ej.)'!F20+'(0) 4. Resumen Balances (5 Ej.)'!F28)-('(0) 4. Resumen Balances (5 Ej.)'!F7)=0,"",('(0) 4. Resumen Balances (5 Ej.)'!F20+'(0) 4. Resumen Balances (5 Ej.)'!F28)-('(0) 4. Resumen Balances (5 Ej.)'!F7))</f>
        <v/>
      </c>
      <c r="F28" s="151" t="str">
        <f>IF(('(0) 4. Resumen Balances (5 Ej.)'!H20+'(0) 4. Resumen Balances (5 Ej.)'!H28)-('(0) 4. Resumen Balances (5 Ej.)'!H7)=0,"",('(0) 4. Resumen Balances (5 Ej.)'!H20+'(0) 4. Resumen Balances (5 Ej.)'!H28)-('(0) 4. Resumen Balances (5 Ej.)'!H7))</f>
        <v/>
      </c>
      <c r="G28" s="151" t="str">
        <f>IF(('(0) 4. Resumen Balances (5 Ej.)'!J20+'(0) 4. Resumen Balances (5 Ej.)'!J28)-('(0) 4. Resumen Balances (5 Ej.)'!J7)=0,"",('(0) 4. Resumen Balances (5 Ej.)'!J20+'(0) 4. Resumen Balances (5 Ej.)'!J28)-('(0) 4. Resumen Balances (5 Ej.)'!J7))</f>
        <v/>
      </c>
      <c r="H28" s="151" t="str">
        <f>IF(('(0) 4. Resumen Balances (5 Ej.)'!L20+'(0) 4. Resumen Balances (5 Ej.)'!L28)-('(0) 4. Resumen Balances (5 Ej.)'!L7)=0,"",('(0) 4. Resumen Balances (5 Ej.)'!L20+'(0) 4. Resumen Balances (5 Ej.)'!L28)-('(0) 4. Resumen Balances (5 Ej.)'!L7))</f>
        <v/>
      </c>
      <c r="I28" s="196"/>
      <c r="J28" s="154"/>
      <c r="K28" s="154"/>
      <c r="L28" s="1438"/>
      <c r="M28" s="1438"/>
      <c r="N28" s="1438"/>
      <c r="O28" s="1438"/>
      <c r="P28" s="1438"/>
      <c r="AC28" s="341"/>
      <c r="AD28" s="1090" t="s">
        <v>339</v>
      </c>
      <c r="AE28" s="341"/>
      <c r="AF28" s="341"/>
      <c r="AG28" s="341"/>
      <c r="AH28" s="341"/>
      <c r="AI28" s="341"/>
      <c r="AJ28" s="341"/>
      <c r="AK28" s="341"/>
      <c r="AL28" s="341"/>
      <c r="AO28" s="3157"/>
      <c r="AP28" s="1362"/>
      <c r="AQ28" s="1362"/>
      <c r="AR28" s="1362"/>
      <c r="AS28" s="1362"/>
      <c r="AT28" s="1362"/>
      <c r="AU28" s="1362"/>
      <c r="AV28" s="1362"/>
      <c r="AW28" s="1362"/>
      <c r="AX28" s="348"/>
      <c r="AY28" s="3164"/>
      <c r="BC28" s="1378">
        <f>C5</f>
        <v>-1</v>
      </c>
      <c r="BD28" s="209" t="str">
        <f>D5</f>
        <v>1º ej.0</v>
      </c>
    </row>
    <row r="29" spans="1:58" s="154" customFormat="1" ht="17.25" customHeight="1" thickBot="1">
      <c r="AC29" s="341"/>
      <c r="AD29" s="1085" t="s">
        <v>340</v>
      </c>
      <c r="AE29" s="341"/>
      <c r="AF29" s="341"/>
      <c r="AG29" s="341"/>
      <c r="AH29" s="341"/>
      <c r="AI29" s="341"/>
      <c r="AJ29" s="341"/>
      <c r="AK29" s="341"/>
      <c r="AL29" s="341"/>
      <c r="AO29" s="3157"/>
      <c r="AP29" s="4167" t="s">
        <v>540</v>
      </c>
      <c r="AQ29" s="3151"/>
      <c r="AR29" s="4116" t="str">
        <f>'(0) 6. Mas Indicadores-Objetiv'!F21</f>
        <v/>
      </c>
      <c r="AS29" s="3151"/>
      <c r="AT29" s="4116" t="str">
        <f>'(0) 6. Mas Indicadores-Objetiv'!G21</f>
        <v/>
      </c>
      <c r="AU29" s="3151"/>
      <c r="AV29" s="4116" t="str">
        <f>'(0) 6. Mas Indicadores-Objetiv'!H21</f>
        <v/>
      </c>
      <c r="AW29" s="3151"/>
      <c r="AX29" s="348"/>
      <c r="AY29" s="3163"/>
      <c r="BB29" s="154" t="s">
        <v>287</v>
      </c>
      <c r="BD29" s="1244">
        <f>-('(0) 4. Resumen Balances (5 Ej.)'!B19)</f>
        <v>0</v>
      </c>
      <c r="BE29" s="1244" t="s">
        <v>543</v>
      </c>
      <c r="BF29" s="1244"/>
    </row>
    <row r="30" spans="1:58" s="154" customFormat="1" ht="42" customHeight="1" thickBot="1">
      <c r="A30" s="3213" t="s">
        <v>219</v>
      </c>
      <c r="B30" s="1458" t="s">
        <v>428</v>
      </c>
      <c r="C30" s="1499"/>
      <c r="D30" s="151" t="e">
        <f>IF(D41&lt;0,"&gt; 5",(('(0) 4. Resumen Balances (5 Ej.)'!B19+'7. Plan Invers-Financ (1º,2º)'!AA22+'7. Plan Invers-Financ (1º,2º)'!AA27)-(D41))/('(0) 5. Resumen P y G (5 Ej.)'!P46+'(0) 5. Resumen P y G (5 Ej.)'!P36)+5)</f>
        <v>#DIV/0!</v>
      </c>
      <c r="E30" s="144" t="e">
        <f>((('(0) 4. Resumen Balances (5 Ej.)'!D19-('(0) 5. Resumen P y G (5 Ej.)'!G46+'(0) 5. Resumen P y G (5 Ej.)'!G36+'(0) 5. Resumen P y G (5 Ej.)'!J36+'(0) 5. Resumen P y G (5 Ej.)'!J46+'(0) 5. Resumen P y G (5 Ej.)'!M46+'(0) 5. Resumen P y G (5 Ej.)'!M36+'(0) 5. Resumen P y G (5 Ej.)'!P36+'(0) 5. Resumen P y G (5 Ej.)'!P46))/('(0) 5. Resumen P y G (5 Ej.)'!P46+'(0) 5. Resumen P y G (5 Ej.)'!P36))+4)</f>
        <v>#DIV/0!</v>
      </c>
      <c r="F30" s="144" t="e">
        <f>((('(0) 4. Resumen Balances (5 Ej.)'!F19-('(0) 5. Resumen P y G (5 Ej.)'!J46+'(0) 5. Resumen P y G (5 Ej.)'!J36+'(0) 5. Resumen P y G (5 Ej.)'!M36+'(0) 5. Resumen P y G (5 Ej.)'!M46+'(0) 5. Resumen P y G (5 Ej.)'!P46+'(0) 5. Resumen P y G (5 Ej.)'!P36))/('(0) 5. Resumen P y G (5 Ej.)'!P46+'(0) 5. Resumen P y G (5 Ej.)'!P36))+3)</f>
        <v>#DIV/0!</v>
      </c>
      <c r="G30" s="144" t="e">
        <f>((('(0) 4. Resumen Balances (5 Ej.)'!H19-('(0) 5. Resumen P y G (5 Ej.)'!M46+'(0) 5. Resumen P y G (5 Ej.)'!M36+'(0) 5. Resumen P y G (5 Ej.)'!P36+'(0) 5. Resumen P y G (5 Ej.)'!P46))/('(0) 5. Resumen P y G (5 Ej.)'!P46+'(0) 5. Resumen P y G (5 Ej.)'!P36))+2)</f>
        <v>#DIV/0!</v>
      </c>
      <c r="H30" s="144" t="e">
        <f>((('(0) 4. Resumen Balances (5 Ej.)'!J19-('(0) 5. Resumen P y G (5 Ej.)'!P46+'(0) 5. Resumen P y G (5 Ej.)'!P36))/('(0) 5. Resumen P y G (5 Ej.)'!P46+'(0) 5. Resumen P y G (5 Ej.)'!P36))+1)</f>
        <v>#DIV/0!</v>
      </c>
      <c r="AD30" s="1089" t="s">
        <v>341</v>
      </c>
      <c r="AO30" s="3157"/>
      <c r="AP30" s="4168"/>
      <c r="AQ30" s="3152"/>
      <c r="AR30" s="4127"/>
      <c r="AS30" s="3152"/>
      <c r="AT30" s="4127"/>
      <c r="AU30" s="3152"/>
      <c r="AV30" s="4127"/>
      <c r="AW30" s="3152"/>
      <c r="AX30" s="348"/>
      <c r="AY30" s="3163"/>
      <c r="BB30" s="154" t="s">
        <v>288</v>
      </c>
      <c r="BD30" s="154">
        <f>'(0) 5. Resumen P y G (5 Ej.)'!D49</f>
        <v>0</v>
      </c>
    </row>
    <row r="31" spans="1:58" s="154" customFormat="1" ht="16.5" customHeight="1" thickBot="1">
      <c r="AO31" s="3157"/>
      <c r="AP31" s="1362"/>
      <c r="AQ31" s="1362"/>
      <c r="AR31" s="1362"/>
      <c r="AS31" s="1362"/>
      <c r="AT31" s="1362"/>
      <c r="AU31" s="1362"/>
      <c r="AV31" s="1362"/>
      <c r="AW31" s="1362"/>
      <c r="AX31" s="348"/>
      <c r="AY31" s="3163"/>
      <c r="BB31" s="154" t="s">
        <v>289</v>
      </c>
      <c r="BD31" s="154">
        <f>'(0) 5. Resumen P y G (5 Ej.)'!G49</f>
        <v>0</v>
      </c>
    </row>
    <row r="32" spans="1:58" s="154" customFormat="1" ht="37.5" customHeight="1" thickBot="1">
      <c r="A32" s="3213" t="s">
        <v>284</v>
      </c>
      <c r="B32" s="1459" t="s">
        <v>285</v>
      </c>
      <c r="C32" s="212"/>
      <c r="D32" s="161" t="str">
        <f>IF((NPV(D33,BD30:BD34)+BD29)=0,"",(NPV(D33,BD30:BD34)+BD29))</f>
        <v/>
      </c>
      <c r="AO32" s="3157"/>
      <c r="AP32" s="4128" t="s">
        <v>564</v>
      </c>
      <c r="AQ32" s="202"/>
      <c r="AR32" s="4133" t="str">
        <f>IF('(0) 5. Resumen P y G (5 Ej.)'!J17=0,"",'(0) 6. Mas Indicadores-Objetiv'!F37)</f>
        <v/>
      </c>
      <c r="AS32" s="4134"/>
      <c r="AT32" s="4133" t="str">
        <f>IF('(0) 5. Resumen P y G (5 Ej.)'!M17=0,"",'(0) 6. Mas Indicadores-Objetiv'!G37)</f>
        <v/>
      </c>
      <c r="AU32" s="4134"/>
      <c r="AV32" s="4133" t="str">
        <f>IF('(0) 5. Resumen P y G (5 Ej.)'!P17=0,"",'(0) 6. Mas Indicadores-Objetiv'!H37)</f>
        <v/>
      </c>
      <c r="AW32" s="4134"/>
      <c r="AX32" s="348"/>
      <c r="AY32" s="3163"/>
      <c r="BB32" s="154" t="s">
        <v>290</v>
      </c>
      <c r="BD32" s="154">
        <f>'(0) 5. Resumen P y G (5 Ej.)'!J49</f>
        <v>0</v>
      </c>
    </row>
    <row r="33" spans="1:56" s="154" customFormat="1" ht="21" customHeight="1" thickBot="1">
      <c r="A33" s="211"/>
      <c r="B33" s="1460" t="s">
        <v>283</v>
      </c>
      <c r="C33" s="210"/>
      <c r="D33" s="3215">
        <v>0.06</v>
      </c>
      <c r="AO33" s="3157"/>
      <c r="AP33" s="4129"/>
      <c r="AQ33" s="202"/>
      <c r="AR33" s="4135"/>
      <c r="AS33" s="4136"/>
      <c r="AT33" s="4135"/>
      <c r="AU33" s="4136"/>
      <c r="AV33" s="4135"/>
      <c r="AW33" s="4136"/>
      <c r="AX33" s="348"/>
      <c r="AY33" s="3163"/>
      <c r="BB33" s="154" t="s">
        <v>291</v>
      </c>
      <c r="BD33" s="154">
        <f>'(0) 5. Resumen P y G (5 Ej.)'!M49</f>
        <v>0</v>
      </c>
    </row>
    <row r="34" spans="1:56" s="154" customFormat="1" ht="16.5" customHeight="1" thickBot="1">
      <c r="AO34" s="3157"/>
      <c r="AP34" s="1362"/>
      <c r="AQ34" s="1362"/>
      <c r="AR34" s="1362"/>
      <c r="AS34" s="1362"/>
      <c r="AT34" s="1362"/>
      <c r="AU34" s="1362"/>
      <c r="AV34" s="1362"/>
      <c r="AW34" s="1362"/>
      <c r="AX34" s="348"/>
      <c r="AY34" s="3163"/>
      <c r="BB34" s="154" t="s">
        <v>292</v>
      </c>
      <c r="BD34" s="154">
        <f>'(0) 5. Resumen P y G (5 Ej.)'!P49</f>
        <v>0</v>
      </c>
    </row>
    <row r="35" spans="1:56" s="154" customFormat="1" ht="38.25" customHeight="1" thickBot="1">
      <c r="A35" s="3213" t="s">
        <v>282</v>
      </c>
      <c r="B35" s="1458" t="s">
        <v>286</v>
      </c>
      <c r="C35" s="212"/>
      <c r="D35" s="162" t="e">
        <f>IRR(BD29:BD34)</f>
        <v>#NUM!</v>
      </c>
      <c r="AO35" s="3157"/>
      <c r="AP35" s="4122" t="s">
        <v>541</v>
      </c>
      <c r="AQ35" s="1376"/>
      <c r="AR35" s="4124" t="str">
        <f>IF(AR32="","",'(0) 6. Mas Indicadores-Objetiv'!F39)</f>
        <v/>
      </c>
      <c r="AS35" s="1376"/>
      <c r="AT35" s="4124" t="str">
        <f>IF(AT32="","",'(0) 6. Mas Indicadores-Objetiv'!G39)</f>
        <v/>
      </c>
      <c r="AU35" s="1376"/>
      <c r="AV35" s="4124" t="str">
        <f>IF(AV32="","",'(0) 6. Mas Indicadores-Objetiv'!H39)</f>
        <v/>
      </c>
      <c r="AW35" s="1376"/>
      <c r="AX35" s="348"/>
      <c r="AY35" s="3163"/>
    </row>
    <row r="36" spans="1:56" s="154" customFormat="1" ht="17.25" customHeight="1" thickBot="1">
      <c r="AO36" s="3157"/>
      <c r="AP36" s="4123"/>
      <c r="AQ36" s="1377"/>
      <c r="AR36" s="4125"/>
      <c r="AS36" s="1377"/>
      <c r="AT36" s="4125"/>
      <c r="AU36" s="1377"/>
      <c r="AV36" s="4125"/>
      <c r="AW36" s="1377"/>
      <c r="AX36" s="348"/>
      <c r="AY36" s="3163"/>
    </row>
    <row r="37" spans="1:56" ht="42.75" customHeight="1" thickBot="1">
      <c r="A37" s="3213" t="s">
        <v>177</v>
      </c>
      <c r="B37" s="1458" t="s">
        <v>50</v>
      </c>
      <c r="C37" s="151" t="str">
        <f>IF(Consolidación?="NO","",('(0) 5. Resumen P y G (5 Ej.)'!B37+'(0) 5. Resumen P y G (5 Ej.)'!B39)/(1-('(0) 5. Resumen P y G (5 Ej.)'!B17/'(0) 5. Resumen P y G (5 Ej.)'!B8)))</f>
        <v/>
      </c>
      <c r="D37" s="151" t="e">
        <f>('(0) 5. Resumen P y G (5 Ej.)'!D37+'(0) 5. Resumen P y G (5 Ej.)'!D39)/(1-('(0) 5. Resumen P y G (5 Ej.)'!D17/'(0) 5. Resumen P y G (5 Ej.)'!D8))</f>
        <v>#DIV/0!</v>
      </c>
      <c r="E37" s="151" t="e">
        <f>('(0) 5. Resumen P y G (5 Ej.)'!G37+'(0) 5. Resumen P y G (5 Ej.)'!G39)/(1-('(0) 5. Resumen P y G (5 Ej.)'!G17/'(0) 5. Resumen P y G (5 Ej.)'!G8))</f>
        <v>#DIV/0!</v>
      </c>
      <c r="F37" s="151" t="e">
        <f>('(0) 5. Resumen P y G (5 Ej.)'!J37+'(0) 5. Resumen P y G (5 Ej.)'!J39)/(1-('(0) 5. Resumen P y G (5 Ej.)'!J17/'(0) 5. Resumen P y G (5 Ej.)'!J8))</f>
        <v>#DIV/0!</v>
      </c>
      <c r="G37" s="151" t="e">
        <f>('(0) 5. Resumen P y G (5 Ej.)'!M37+'(0) 5. Resumen P y G (5 Ej.)'!M39)/(1-('(0) 5. Resumen P y G (5 Ej.)'!M17/'(0) 5. Resumen P y G (5 Ej.)'!M8))</f>
        <v>#DIV/0!</v>
      </c>
      <c r="H37" s="151" t="e">
        <f>('(0) 5. Resumen P y G (5 Ej.)'!P37+'(0) 5. Resumen P y G (5 Ej.)'!P39)/(1-('(0) 5. Resumen P y G (5 Ej.)'!P17/'(0) 5. Resumen P y G (5 Ej.)'!P8))</f>
        <v>#DIV/0!</v>
      </c>
      <c r="AO37" s="3158"/>
      <c r="AP37" s="3159" t="s">
        <v>350</v>
      </c>
      <c r="AQ37" s="3160"/>
      <c r="AR37" s="3161"/>
      <c r="AS37" s="3160"/>
      <c r="AT37" s="3161"/>
      <c r="AU37" s="3160"/>
      <c r="AV37" s="3161"/>
      <c r="AW37" s="3160"/>
      <c r="AX37" s="3159"/>
      <c r="AY37" s="3164"/>
    </row>
    <row r="38" spans="1:56" s="154" customFormat="1" ht="16.5" customHeight="1" thickBot="1">
      <c r="AO38" s="348"/>
      <c r="AP38" s="202"/>
      <c r="AQ38" s="202"/>
      <c r="AR38" s="202"/>
      <c r="AS38" s="202"/>
      <c r="AT38" s="202"/>
      <c r="AU38" s="202"/>
      <c r="AV38" s="202"/>
      <c r="AW38" s="202"/>
      <c r="AX38" s="348"/>
    </row>
    <row r="39" spans="1:56" s="154" customFormat="1" ht="33.75" customHeight="1" thickBot="1">
      <c r="A39" s="3214" t="s">
        <v>185</v>
      </c>
      <c r="B39" s="1461" t="s">
        <v>184</v>
      </c>
      <c r="C39" s="152" t="str">
        <f>IF(Consolidación?="NO","",'(0) 5. Resumen P y G (5 Ej.)'!B8/C37)</f>
        <v/>
      </c>
      <c r="D39" s="152" t="e">
        <f>'(0) 5. Resumen P y G (5 Ej.)'!D8/D37</f>
        <v>#DIV/0!</v>
      </c>
      <c r="E39" s="152" t="e">
        <f>'(0) 5. Resumen P y G (5 Ej.)'!G8/E37</f>
        <v>#DIV/0!</v>
      </c>
      <c r="F39" s="152" t="e">
        <f>'(0) 5. Resumen P y G (5 Ej.)'!J8/F37</f>
        <v>#DIV/0!</v>
      </c>
      <c r="G39" s="152" t="e">
        <f>'(0) 5. Resumen P y G (5 Ej.)'!M8/G37</f>
        <v>#DIV/0!</v>
      </c>
      <c r="H39" s="152" t="e">
        <f>'(0) 5. Resumen P y G (5 Ej.)'!P8/H37</f>
        <v>#DIV/0!</v>
      </c>
      <c r="AO39" s="348"/>
      <c r="AP39" s="202"/>
      <c r="AQ39" s="202"/>
      <c r="AR39" s="202"/>
      <c r="AS39" s="202"/>
      <c r="AT39" s="202"/>
      <c r="AU39" s="202"/>
      <c r="AV39" s="202"/>
      <c r="AW39" s="202"/>
      <c r="AX39" s="348"/>
    </row>
    <row r="40" spans="1:56" s="154" customFormat="1" ht="12" customHeight="1">
      <c r="A40" s="213"/>
      <c r="B40" s="214"/>
      <c r="C40" s="214"/>
      <c r="D40" s="215"/>
      <c r="E40" s="215"/>
      <c r="F40" s="215"/>
      <c r="G40" s="215"/>
      <c r="H40" s="216"/>
      <c r="AO40" s="348"/>
      <c r="AP40" s="348"/>
      <c r="AQ40" s="348"/>
      <c r="AR40" s="1380"/>
      <c r="AS40" s="348"/>
      <c r="AT40" s="348"/>
      <c r="AU40" s="348"/>
      <c r="AV40" s="348"/>
      <c r="AW40" s="348"/>
      <c r="AX40" s="348"/>
    </row>
    <row r="41" spans="1:56" ht="22.5" customHeight="1">
      <c r="A41" s="217" t="s">
        <v>237</v>
      </c>
      <c r="B41" s="154"/>
      <c r="C41" s="154"/>
      <c r="D41" s="3323">
        <f>'(0) 5. Resumen P y G (5 Ej.)'!D36+'(0) 5. Resumen P y G (5 Ej.)'!G36+'(0) 5. Resumen P y G (5 Ej.)'!J36+'(0) 5. Resumen P y G (5 Ej.)'!M36+'(0) 5. Resumen P y G (5 Ej.)'!P36+'(0) 5. Resumen P y G (5 Ej.)'!P46+'(0) 5. Resumen P y G (5 Ej.)'!M46+'(0) 5. Resumen P y G (5 Ej.)'!J46+'(0) 5. Resumen P y G (5 Ej.)'!G46+'(0) 5. Resumen P y G (5 Ej.)'!D46</f>
        <v>0</v>
      </c>
      <c r="E41" s="154"/>
      <c r="F41" s="154"/>
      <c r="G41" s="154"/>
      <c r="H41" s="154"/>
    </row>
    <row r="45" spans="1:56">
      <c r="A45" s="1500"/>
      <c r="B45" s="1500"/>
      <c r="C45" s="1500"/>
      <c r="D45" s="1501"/>
      <c r="E45" s="1501"/>
      <c r="F45" s="1501"/>
      <c r="G45" s="1501"/>
      <c r="H45" s="1501"/>
      <c r="I45" s="1501"/>
      <c r="J45" s="1501"/>
      <c r="K45" s="1501"/>
      <c r="L45" s="1502"/>
      <c r="M45" s="1502"/>
      <c r="N45" s="1502"/>
      <c r="O45" s="1502"/>
    </row>
    <row r="46" spans="1:56">
      <c r="A46" s="1503"/>
      <c r="B46" s="207"/>
      <c r="C46" s="207"/>
      <c r="D46" s="208"/>
      <c r="E46" s="208"/>
      <c r="F46" s="208"/>
      <c r="G46" s="208"/>
      <c r="H46" s="208"/>
      <c r="I46" s="199"/>
      <c r="J46" s="202"/>
      <c r="K46" s="202"/>
      <c r="L46" s="1504"/>
      <c r="M46" s="1505"/>
      <c r="N46" s="1504"/>
      <c r="O46" s="1504"/>
      <c r="P46" s="1446"/>
    </row>
    <row r="47" spans="1:56">
      <c r="A47" s="1500"/>
      <c r="B47" s="1500"/>
      <c r="C47" s="1500"/>
      <c r="D47" s="1501"/>
      <c r="E47" s="1501"/>
      <c r="F47" s="1501"/>
      <c r="G47" s="1501"/>
      <c r="H47" s="1501"/>
      <c r="I47" s="199"/>
      <c r="J47" s="202"/>
      <c r="K47" s="202"/>
      <c r="L47" s="1505"/>
      <c r="M47" s="1505"/>
      <c r="N47" s="1505"/>
      <c r="O47" s="1505"/>
      <c r="P47" s="1447"/>
    </row>
    <row r="48" spans="1:56">
      <c r="A48" s="1506"/>
      <c r="B48" s="1507"/>
      <c r="C48" s="1508"/>
      <c r="D48" s="1509"/>
      <c r="E48" s="1510"/>
      <c r="F48" s="1510"/>
      <c r="G48" s="1510"/>
      <c r="H48" s="1510"/>
      <c r="I48" s="1511"/>
      <c r="J48" s="1501"/>
      <c r="K48" s="1501"/>
      <c r="L48" s="1502"/>
      <c r="M48" s="1502"/>
      <c r="N48" s="1502"/>
      <c r="O48" s="1502"/>
    </row>
    <row r="49" spans="1:49">
      <c r="A49" s="1500"/>
      <c r="B49" s="1500"/>
      <c r="C49" s="1500"/>
      <c r="D49" s="1501"/>
      <c r="I49" s="199"/>
      <c r="J49" s="202"/>
      <c r="K49" s="202"/>
      <c r="L49" s="1504"/>
      <c r="M49" s="1505"/>
      <c r="N49" s="1505"/>
      <c r="O49" s="1504"/>
      <c r="P49" s="1446"/>
    </row>
    <row r="50" spans="1:49">
      <c r="A50" s="211"/>
      <c r="B50" s="210"/>
      <c r="C50" s="210"/>
      <c r="D50" s="160"/>
      <c r="E50" s="160"/>
      <c r="F50" s="144"/>
      <c r="G50" s="144"/>
      <c r="H50" s="144"/>
      <c r="I50" s="199"/>
      <c r="J50" s="202"/>
      <c r="K50" s="202"/>
      <c r="L50" s="1504"/>
      <c r="M50" s="1504"/>
      <c r="N50" s="1504"/>
      <c r="O50" s="1504"/>
      <c r="P50" s="1446"/>
      <c r="AP50" s="1086"/>
      <c r="AQ50" s="1088"/>
      <c r="AR50" s="1087"/>
      <c r="AS50" s="1088"/>
      <c r="AT50" s="1087"/>
      <c r="AU50" s="1088"/>
      <c r="AV50" s="1087"/>
      <c r="AW50" s="1088"/>
    </row>
    <row r="51" spans="1:49">
      <c r="A51" s="211"/>
      <c r="B51" s="210"/>
      <c r="C51" s="210"/>
      <c r="D51" s="160"/>
      <c r="E51" s="160"/>
      <c r="F51" s="144"/>
      <c r="G51" s="144"/>
      <c r="H51" s="144"/>
      <c r="I51" s="199"/>
      <c r="J51" s="199"/>
      <c r="K51" s="202"/>
      <c r="L51" s="1504"/>
      <c r="M51" s="1504"/>
      <c r="N51" s="1504"/>
      <c r="O51" s="1504"/>
      <c r="P51" s="1446"/>
    </row>
    <row r="52" spans="1:49">
      <c r="A52" s="1500"/>
      <c r="B52" s="1500"/>
      <c r="C52" s="1500"/>
      <c r="D52" s="1501"/>
      <c r="E52" s="160"/>
      <c r="F52" s="144"/>
      <c r="G52" s="144"/>
      <c r="H52" s="144"/>
      <c r="I52" s="199"/>
      <c r="J52" s="199"/>
      <c r="K52" s="202"/>
      <c r="L52" s="1504"/>
      <c r="M52" s="1504"/>
      <c r="N52" s="1504"/>
      <c r="O52" s="1504"/>
      <c r="P52" s="1446"/>
    </row>
    <row r="53" spans="1:49">
      <c r="A53" s="211"/>
      <c r="B53" s="210"/>
      <c r="C53" s="210"/>
      <c r="D53" s="187"/>
      <c r="E53" s="187"/>
      <c r="F53" s="187"/>
      <c r="G53" s="187"/>
      <c r="H53" s="187"/>
      <c r="I53" s="199"/>
      <c r="J53" s="202"/>
      <c r="K53" s="202"/>
      <c r="L53" s="1504"/>
      <c r="M53" s="1504"/>
      <c r="N53" s="1504"/>
      <c r="O53" s="1504"/>
      <c r="P53" s="1446"/>
    </row>
    <row r="54" spans="1:49">
      <c r="A54" s="1500"/>
      <c r="B54" s="1500"/>
      <c r="C54" s="1500"/>
      <c r="D54" s="1501"/>
      <c r="E54" s="1501"/>
      <c r="F54" s="1501"/>
      <c r="G54" s="1501"/>
      <c r="H54" s="1501"/>
      <c r="I54" s="199"/>
      <c r="J54" s="202"/>
      <c r="K54" s="202"/>
      <c r="L54" s="1504"/>
      <c r="M54" s="1504"/>
      <c r="N54" s="1504"/>
      <c r="O54" s="1504"/>
      <c r="P54" s="1446"/>
    </row>
    <row r="55" spans="1:49">
      <c r="A55" s="1512"/>
      <c r="B55" s="1512"/>
      <c r="C55" s="1512"/>
      <c r="D55" s="1513"/>
      <c r="E55" s="1513"/>
      <c r="F55" s="1513"/>
      <c r="G55" s="1513"/>
      <c r="H55" s="1513"/>
      <c r="I55" s="1511"/>
      <c r="J55" s="1501"/>
      <c r="K55" s="1501"/>
      <c r="L55" s="1502"/>
      <c r="M55" s="1502"/>
      <c r="N55" s="1502"/>
      <c r="O55" s="1502"/>
    </row>
    <row r="56" spans="1:49">
      <c r="A56" s="1500"/>
      <c r="B56" s="1500"/>
      <c r="C56" s="1500"/>
      <c r="D56" s="1501"/>
      <c r="E56" s="1501"/>
      <c r="F56" s="1501"/>
      <c r="G56" s="1501"/>
      <c r="H56" s="1501"/>
      <c r="I56" s="199"/>
      <c r="J56" s="199"/>
      <c r="K56" s="202"/>
      <c r="L56" s="1504"/>
      <c r="M56" s="1504"/>
      <c r="N56" s="1504"/>
      <c r="O56" s="1504"/>
      <c r="P56" s="1446"/>
    </row>
    <row r="57" spans="1:49">
      <c r="A57" s="1500"/>
      <c r="B57" s="1500"/>
      <c r="C57" s="1500"/>
      <c r="D57" s="1501"/>
      <c r="E57" s="1501"/>
      <c r="F57" s="1501"/>
      <c r="G57" s="1501"/>
      <c r="H57" s="1501"/>
      <c r="I57" s="202"/>
      <c r="J57" s="202"/>
      <c r="K57" s="202"/>
      <c r="L57" s="1504"/>
      <c r="M57" s="1504"/>
      <c r="N57" s="1504"/>
      <c r="O57" s="1504"/>
      <c r="P57" s="1446"/>
    </row>
    <row r="58" spans="1:49">
      <c r="A58" s="1500"/>
      <c r="B58" s="1500"/>
      <c r="C58" s="1500"/>
      <c r="D58" s="1501"/>
      <c r="E58" s="1501"/>
      <c r="F58" s="1501"/>
      <c r="G58" s="1501"/>
      <c r="H58" s="1501"/>
      <c r="I58" s="202"/>
      <c r="J58" s="202"/>
      <c r="K58" s="202"/>
      <c r="L58" s="1504"/>
      <c r="M58" s="1504"/>
      <c r="N58" s="1504"/>
      <c r="O58" s="1504"/>
      <c r="P58" s="1446"/>
    </row>
    <row r="59" spans="1:49">
      <c r="A59" s="1500"/>
      <c r="B59" s="1500"/>
      <c r="C59" s="1500"/>
      <c r="D59" s="1501"/>
      <c r="E59" s="1501"/>
      <c r="F59" s="1501"/>
      <c r="G59" s="1501"/>
      <c r="H59" s="1501"/>
      <c r="I59" s="1501"/>
      <c r="J59" s="1501"/>
      <c r="K59" s="1501"/>
      <c r="L59" s="1502"/>
      <c r="M59" s="1502"/>
      <c r="N59" s="1502"/>
      <c r="O59" s="1502"/>
    </row>
    <row r="60" spans="1:49">
      <c r="A60" s="1500"/>
      <c r="B60" s="1500"/>
      <c r="C60" s="1500"/>
      <c r="D60" s="1501"/>
      <c r="E60" s="1501"/>
      <c r="F60" s="1501"/>
      <c r="G60" s="1501"/>
      <c r="H60" s="1501"/>
      <c r="I60" s="1501"/>
      <c r="J60" s="1501"/>
      <c r="K60" s="1501"/>
      <c r="L60" s="1502"/>
      <c r="M60" s="1502"/>
      <c r="N60" s="1502"/>
      <c r="O60" s="1502"/>
    </row>
    <row r="61" spans="1:49">
      <c r="A61" s="1500"/>
      <c r="B61" s="1500"/>
      <c r="C61" s="1500"/>
      <c r="D61" s="1501"/>
      <c r="E61" s="1501"/>
      <c r="F61" s="1501"/>
      <c r="G61" s="1501"/>
      <c r="H61" s="1501"/>
      <c r="I61" s="1501"/>
      <c r="J61" s="1501"/>
      <c r="K61" s="1501"/>
      <c r="L61" s="1502"/>
      <c r="M61" s="1502"/>
      <c r="N61" s="1502"/>
      <c r="O61" s="1502"/>
    </row>
    <row r="62" spans="1:49">
      <c r="A62" s="1500"/>
      <c r="B62" s="1500"/>
      <c r="C62" s="1500"/>
      <c r="D62" s="1501"/>
      <c r="E62" s="1501"/>
      <c r="F62" s="1501"/>
      <c r="G62" s="1501"/>
      <c r="H62" s="1501"/>
      <c r="I62" s="1501"/>
      <c r="J62" s="1501"/>
      <c r="K62" s="1501"/>
      <c r="L62" s="1502"/>
      <c r="M62" s="1502"/>
      <c r="N62" s="1502"/>
      <c r="O62" s="1502"/>
    </row>
    <row r="63" spans="1:49">
      <c r="A63" s="1500"/>
      <c r="B63" s="1500"/>
      <c r="C63" s="1500"/>
      <c r="D63" s="1501"/>
      <c r="E63" s="1501"/>
      <c r="F63" s="1501"/>
      <c r="G63" s="1501"/>
      <c r="H63" s="1501"/>
      <c r="I63" s="1501"/>
      <c r="J63" s="1501"/>
      <c r="K63" s="1501"/>
      <c r="L63" s="1502"/>
      <c r="M63" s="1502"/>
      <c r="N63" s="1502"/>
      <c r="O63" s="1502"/>
    </row>
    <row r="64" spans="1:49">
      <c r="A64" s="1500"/>
      <c r="B64" s="1500"/>
      <c r="C64" s="1500"/>
      <c r="D64" s="1501"/>
      <c r="E64" s="1501"/>
      <c r="F64" s="1501"/>
      <c r="G64" s="1501"/>
      <c r="H64" s="1501"/>
      <c r="I64" s="1501"/>
      <c r="J64" s="1501"/>
      <c r="K64" s="1501"/>
      <c r="L64" s="1502"/>
      <c r="M64" s="1502"/>
      <c r="N64" s="1502"/>
      <c r="O64" s="1502"/>
    </row>
    <row r="65" spans="1:15">
      <c r="A65" s="1500"/>
      <c r="B65" s="1500"/>
      <c r="C65" s="1500"/>
      <c r="D65" s="1501"/>
      <c r="E65" s="1501"/>
      <c r="F65" s="1501"/>
      <c r="G65" s="1501"/>
      <c r="H65" s="1501"/>
      <c r="I65" s="1501"/>
      <c r="J65" s="1501"/>
      <c r="K65" s="1501"/>
      <c r="L65" s="1502"/>
      <c r="M65" s="1502"/>
      <c r="N65" s="1502"/>
      <c r="O65" s="1502"/>
    </row>
    <row r="66" spans="1:15">
      <c r="A66" s="1500"/>
      <c r="B66" s="1500"/>
      <c r="C66" s="1500"/>
      <c r="D66" s="1501"/>
      <c r="E66" s="1501"/>
      <c r="F66" s="1501"/>
      <c r="G66" s="1501"/>
      <c r="H66" s="1501"/>
      <c r="I66" s="1501"/>
      <c r="J66" s="1501"/>
      <c r="K66" s="1501"/>
      <c r="L66" s="1502"/>
      <c r="M66" s="1502"/>
      <c r="N66" s="1502"/>
      <c r="O66" s="1502"/>
    </row>
  </sheetData>
  <sheetProtection formatColumns="0" formatRows="0"/>
  <mergeCells count="140">
    <mergeCell ref="Y23:Y24"/>
    <mergeCell ref="Y20:Y21"/>
    <mergeCell ref="H10:H11"/>
    <mergeCell ref="M23:P23"/>
    <mergeCell ref="L17:P17"/>
    <mergeCell ref="L12:P12"/>
    <mergeCell ref="G10:G11"/>
    <mergeCell ref="F10:F11"/>
    <mergeCell ref="A3:B3"/>
    <mergeCell ref="A6:A7"/>
    <mergeCell ref="A8:A9"/>
    <mergeCell ref="B6:B7"/>
    <mergeCell ref="B8:B9"/>
    <mergeCell ref="C8:C9"/>
    <mergeCell ref="C6:C7"/>
    <mergeCell ref="A10:A11"/>
    <mergeCell ref="E10:E11"/>
    <mergeCell ref="B10:B11"/>
    <mergeCell ref="C10:C11"/>
    <mergeCell ref="D8:D9"/>
    <mergeCell ref="E8:E9"/>
    <mergeCell ref="D10:D11"/>
    <mergeCell ref="E6:E7"/>
    <mergeCell ref="F6:F7"/>
    <mergeCell ref="G6:G7"/>
    <mergeCell ref="D6:D7"/>
    <mergeCell ref="F8:F9"/>
    <mergeCell ref="AV32:AW33"/>
    <mergeCell ref="AT23:AT24"/>
    <mergeCell ref="AV23:AV24"/>
    <mergeCell ref="AW23:AW24"/>
    <mergeCell ref="AR9:AS9"/>
    <mergeCell ref="AT9:AU9"/>
    <mergeCell ref="AV9:AW9"/>
    <mergeCell ref="U23:U24"/>
    <mergeCell ref="W6:W7"/>
    <mergeCell ref="W8:W9"/>
    <mergeCell ref="W23:W24"/>
    <mergeCell ref="U6:U7"/>
    <mergeCell ref="U8:U9"/>
    <mergeCell ref="U11:U12"/>
    <mergeCell ref="U20:U21"/>
    <mergeCell ref="W11:W12"/>
    <mergeCell ref="H6:H7"/>
    <mergeCell ref="H8:H9"/>
    <mergeCell ref="G8:G9"/>
    <mergeCell ref="W20:W21"/>
    <mergeCell ref="AT29:AT30"/>
    <mergeCell ref="AT32:AU33"/>
    <mergeCell ref="AJ20:AJ21"/>
    <mergeCell ref="AH18:AH19"/>
    <mergeCell ref="AI20:AI21"/>
    <mergeCell ref="AI18:AI19"/>
    <mergeCell ref="AJ18:AJ19"/>
    <mergeCell ref="AU17:AU18"/>
    <mergeCell ref="AP17:AP18"/>
    <mergeCell ref="AR17:AR18"/>
    <mergeCell ref="AQ17:AQ18"/>
    <mergeCell ref="AU20:AU21"/>
    <mergeCell ref="AS17:AS18"/>
    <mergeCell ref="AP29:AP30"/>
    <mergeCell ref="AS20:AS21"/>
    <mergeCell ref="AQ20:AQ21"/>
    <mergeCell ref="AR20:AR21"/>
    <mergeCell ref="AS26:AS27"/>
    <mergeCell ref="AR29:AR30"/>
    <mergeCell ref="AP20:AP21"/>
    <mergeCell ref="AQ23:AQ24"/>
    <mergeCell ref="Y11:Y12"/>
    <mergeCell ref="AD5:AK5"/>
    <mergeCell ref="AK18:AK19"/>
    <mergeCell ref="AG18:AG19"/>
    <mergeCell ref="AF8:AG8"/>
    <mergeCell ref="Y6:Y7"/>
    <mergeCell ref="AF20:AF21"/>
    <mergeCell ref="AI11:AI12"/>
    <mergeCell ref="AF11:AF12"/>
    <mergeCell ref="AG11:AG12"/>
    <mergeCell ref="AJ11:AJ12"/>
    <mergeCell ref="AK11:AK12"/>
    <mergeCell ref="AF18:AF19"/>
    <mergeCell ref="AH11:AH12"/>
    <mergeCell ref="AD18:AD19"/>
    <mergeCell ref="Y8:Y9"/>
    <mergeCell ref="AH8:AI8"/>
    <mergeCell ref="AJ8:AK8"/>
    <mergeCell ref="AK20:AK21"/>
    <mergeCell ref="AD20:AD21"/>
    <mergeCell ref="AG20:AG21"/>
    <mergeCell ref="AH20:AH21"/>
    <mergeCell ref="AD6:AK6"/>
    <mergeCell ref="AD8:AD9"/>
    <mergeCell ref="AF9:AG9"/>
    <mergeCell ref="AP35:AP36"/>
    <mergeCell ref="AR35:AR36"/>
    <mergeCell ref="AV14:AV15"/>
    <mergeCell ref="AP5:AW5"/>
    <mergeCell ref="AV29:AV30"/>
    <mergeCell ref="AP32:AP33"/>
    <mergeCell ref="AP6:AW6"/>
    <mergeCell ref="AV26:AV27"/>
    <mergeCell ref="AT14:AT15"/>
    <mergeCell ref="AU14:AU15"/>
    <mergeCell ref="AT17:AT18"/>
    <mergeCell ref="AR32:AS33"/>
    <mergeCell ref="AS14:AS15"/>
    <mergeCell ref="AU23:AU24"/>
    <mergeCell ref="AW26:AW27"/>
    <mergeCell ref="AV17:AV18"/>
    <mergeCell ref="AT26:AT27"/>
    <mergeCell ref="AW17:AW18"/>
    <mergeCell ref="AT20:AT21"/>
    <mergeCell ref="AR14:AR15"/>
    <mergeCell ref="AT35:AT36"/>
    <mergeCell ref="AV35:AV36"/>
    <mergeCell ref="AP23:AP24"/>
    <mergeCell ref="T5:Y5"/>
    <mergeCell ref="AV20:AV21"/>
    <mergeCell ref="AW20:AW21"/>
    <mergeCell ref="AW14:AW15"/>
    <mergeCell ref="AU26:AU27"/>
    <mergeCell ref="AQ14:AQ15"/>
    <mergeCell ref="AP8:AP9"/>
    <mergeCell ref="AS11:AS12"/>
    <mergeCell ref="AR8:AS8"/>
    <mergeCell ref="AT8:AU8"/>
    <mergeCell ref="AV8:AW8"/>
    <mergeCell ref="AU11:AU12"/>
    <mergeCell ref="AV11:AV12"/>
    <mergeCell ref="AW11:AW12"/>
    <mergeCell ref="AQ11:AQ12"/>
    <mergeCell ref="AR11:AR12"/>
    <mergeCell ref="AT11:AT12"/>
    <mergeCell ref="AP26:AP27"/>
    <mergeCell ref="AQ26:AQ27"/>
    <mergeCell ref="AR26:AR27"/>
    <mergeCell ref="AS23:AS24"/>
    <mergeCell ref="AR23:AR24"/>
    <mergeCell ref="AH9:AI9"/>
    <mergeCell ref="AJ9:AK9"/>
  </mergeCells>
  <phoneticPr fontId="9" type="noConversion"/>
  <conditionalFormatting sqref="C39 C14:C16 C26:D26 D13:H16 D24 C28:H28 D39:H40 C37:H37 M26:P26 E6:H11 C8:D11 BA6:BB11 O6:P11 M8:N11 D18:H19 C19 C20:H22 L28:P28 L18:P21 E30:H30 F50:H52">
    <cfRule type="expression" dxfId="10" priority="11" stopIfTrue="1">
      <formula>ISERROR(C6)=TRUE</formula>
    </cfRule>
  </conditionalFormatting>
  <conditionalFormatting sqref="C25">
    <cfRule type="expression" priority="12" stopIfTrue="1">
      <formula>"ESERROR(C26)=VERDADERO"</formula>
    </cfRule>
  </conditionalFormatting>
  <conditionalFormatting sqref="D6:D7">
    <cfRule type="expression" dxfId="9" priority="13" stopIfTrue="1">
      <formula>ISERROR(D6)=TRUE</formula>
    </cfRule>
  </conditionalFormatting>
  <conditionalFormatting sqref="C6:C7">
    <cfRule type="expression" dxfId="8" priority="14" stopIfTrue="1">
      <formula>ISERROR(C6)=TRUE</formula>
    </cfRule>
    <cfRule type="expression" priority="15" stopIfTrue="1">
      <formula>CONSOLIDACION?="NO"</formula>
    </cfRule>
  </conditionalFormatting>
  <conditionalFormatting sqref="D30 D32:D33 D50:E51 E52 D35">
    <cfRule type="expression" dxfId="7" priority="16" stopIfTrue="1">
      <formula>ISERROR(D30)=TRUE</formula>
    </cfRule>
    <cfRule type="cellIs" dxfId="6" priority="17" stopIfTrue="1" operator="equal">
      <formula>"&gt; 5 años"</formula>
    </cfRule>
  </conditionalFormatting>
  <conditionalFormatting sqref="N6:N7">
    <cfRule type="expression" dxfId="5" priority="8" stopIfTrue="1">
      <formula>ISERROR(N6)=TRUE</formula>
    </cfRule>
  </conditionalFormatting>
  <conditionalFormatting sqref="M6:M7">
    <cfRule type="expression" dxfId="4" priority="9" stopIfTrue="1">
      <formula>ISERROR(M6)=TRUE</formula>
    </cfRule>
    <cfRule type="expression" priority="10" stopIfTrue="1">
      <formula>CONSOLIDACION?="NO"</formula>
    </cfRule>
  </conditionalFormatting>
  <conditionalFormatting sqref="BA13:BA14">
    <cfRule type="expression" dxfId="3" priority="6" stopIfTrue="1">
      <formula>ISERROR(BA13)=TRUE</formula>
    </cfRule>
  </conditionalFormatting>
  <conditionalFormatting sqref="L13:P13">
    <cfRule type="expression" dxfId="2" priority="3" stopIfTrue="1">
      <formula>ISERROR(L13)=TRUE</formula>
    </cfRule>
  </conditionalFormatting>
  <conditionalFormatting sqref="L14:P16">
    <cfRule type="expression" dxfId="1" priority="2" stopIfTrue="1">
      <formula>ISERROR(L14)=TRUE</formula>
    </cfRule>
  </conditionalFormatting>
  <conditionalFormatting sqref="M24:P24">
    <cfRule type="expression" dxfId="0" priority="1" stopIfTrue="1">
      <formula>ISERROR(M24)=TRUE</formula>
    </cfRule>
  </conditionalFormatting>
  <printOptions horizontalCentered="1"/>
  <pageMargins left="0.74803149606299213" right="0.74803149606299213" top="0.70866141732283472" bottom="0.59055118110236227" header="0.51181102362204722" footer="0.31496062992125984"/>
  <pageSetup paperSize="9" scale="45" orientation="landscape" horizontalDpi="360" verticalDpi="300" r:id="rId1"/>
  <headerFooter alignWithMargins="0">
    <oddFooter>&amp;A</oddFooter>
  </headerFooter>
  <colBreaks count="3" manualBreakCount="3">
    <brk id="11" max="40" man="1"/>
    <brk id="27" max="40" man="1"/>
    <brk id="39" max="40" man="1"/>
  </col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Y84"/>
  <sheetViews>
    <sheetView topLeftCell="G4" zoomScale="75" zoomScaleNormal="65" zoomScaleSheetLayoutView="50" workbookViewId="0">
      <selection activeCell="U26" sqref="U26"/>
    </sheetView>
  </sheetViews>
  <sheetFormatPr baseColWidth="10" defaultColWidth="11.1640625" defaultRowHeight="15.75"/>
  <cols>
    <col min="1" max="1" width="24" style="9" customWidth="1"/>
    <col min="2" max="3" width="18.33203125" style="9" customWidth="1"/>
    <col min="4" max="4" width="20.1640625" style="9" bestFit="1" customWidth="1"/>
    <col min="5" max="5" width="21.83203125" style="9" customWidth="1"/>
    <col min="6" max="6" width="7" style="9" customWidth="1"/>
    <col min="7" max="7" width="3.83203125" style="9" customWidth="1"/>
    <col min="8" max="8" width="26.1640625" style="9" customWidth="1"/>
    <col min="9" max="9" width="18" style="9" customWidth="1"/>
    <col min="10" max="10" width="18.33203125" style="9" customWidth="1"/>
    <col min="11" max="11" width="20.83203125" style="9" customWidth="1"/>
    <col min="12" max="12" width="7" style="9" customWidth="1"/>
    <col min="13" max="13" width="3.83203125" style="9" customWidth="1"/>
    <col min="14" max="14" width="19.33203125" style="9" customWidth="1"/>
    <col min="15" max="16" width="18.33203125" style="9" customWidth="1"/>
    <col min="17" max="17" width="20.83203125" style="9" customWidth="1"/>
    <col min="18" max="18" width="21" style="9" customWidth="1"/>
    <col min="19" max="19" width="18.5" style="9" customWidth="1"/>
    <col min="20" max="20" width="17.1640625" style="9" customWidth="1"/>
    <col min="21" max="21" width="16.33203125" style="9" customWidth="1"/>
    <col min="22" max="22" width="17.33203125" style="9" customWidth="1"/>
    <col min="23" max="23" width="19.83203125" style="9" customWidth="1"/>
    <col min="24" max="24" width="16.33203125" style="9" customWidth="1"/>
    <col min="25" max="25" width="24.33203125" style="9" customWidth="1"/>
    <col min="26" max="16384" width="11.1640625" style="9"/>
  </cols>
  <sheetData>
    <row r="1" spans="1:25" ht="39.950000000000003" customHeight="1" thickBot="1">
      <c r="A1" s="8" t="s">
        <v>123</v>
      </c>
      <c r="D1" s="96"/>
      <c r="E1" s="96"/>
      <c r="F1" s="96"/>
    </row>
    <row r="2" spans="1:25" ht="39.950000000000003" customHeight="1" thickTop="1" thickBot="1">
      <c r="A2" s="39"/>
      <c r="N2" s="17" t="s">
        <v>68</v>
      </c>
      <c r="O2" s="31" t="s">
        <v>14</v>
      </c>
      <c r="P2" s="31" t="s">
        <v>66</v>
      </c>
      <c r="Q2" s="33" t="s">
        <v>67</v>
      </c>
      <c r="R2" s="32" t="s">
        <v>15</v>
      </c>
      <c r="S2" s="242" t="s">
        <v>419</v>
      </c>
      <c r="T2" s="242" t="s">
        <v>420</v>
      </c>
      <c r="U2"/>
    </row>
    <row r="3" spans="1:25" ht="20.100000000000001" customHeight="1" thickTop="1">
      <c r="A3" s="8" t="s">
        <v>98</v>
      </c>
      <c r="G3" s="39"/>
      <c r="N3" s="27">
        <f>Año_comienzo_Plan</f>
        <v>0</v>
      </c>
      <c r="O3" s="41">
        <f>SUM(O12:O23)</f>
        <v>0</v>
      </c>
      <c r="P3" s="41">
        <f>SUM(P12:P23)</f>
        <v>0</v>
      </c>
      <c r="Q3" s="41">
        <f>SUM(Q12:Q23)</f>
        <v>0</v>
      </c>
      <c r="R3" s="44">
        <f>IF($I$6=1,$B$5-Q3,0)</f>
        <v>0</v>
      </c>
      <c r="S3" s="1101">
        <f>IF($R$23=0,0,$R$23-$S$35)</f>
        <v>0</v>
      </c>
      <c r="T3" s="1101">
        <f>$S$35</f>
        <v>0</v>
      </c>
      <c r="U3" s="246">
        <f t="shared" ref="U3:U8" si="0">SUM(S3:T3)</f>
        <v>0</v>
      </c>
    </row>
    <row r="4" spans="1:25" ht="20.100000000000001" customHeight="1" thickBot="1">
      <c r="N4" s="28">
        <f>N3+1</f>
        <v>1</v>
      </c>
      <c r="O4" s="43">
        <f>SUM(O24:O35)</f>
        <v>0</v>
      </c>
      <c r="P4" s="43">
        <f>SUM(P24:P35)</f>
        <v>0</v>
      </c>
      <c r="Q4" s="43">
        <f>SUM(Q24:Q35)</f>
        <v>0</v>
      </c>
      <c r="R4" s="44">
        <f>IF($I$6=1,$B$5-(Q3+Q4),IF($I$6=2,$B$5-Q4,0))</f>
        <v>0</v>
      </c>
      <c r="S4" s="1101">
        <f>IF($R$35=0,0,$R$35-$S$47)</f>
        <v>0</v>
      </c>
      <c r="T4" s="1101">
        <f>$S$47</f>
        <v>0</v>
      </c>
      <c r="U4" s="246">
        <f t="shared" si="0"/>
        <v>0</v>
      </c>
    </row>
    <row r="5" spans="1:25" ht="20.100000000000001" customHeight="1" thickTop="1" thickBot="1">
      <c r="A5" s="10" t="s">
        <v>54</v>
      </c>
      <c r="B5" s="124">
        <f>'(0) 3b. Préstam Financ.'!R17</f>
        <v>0</v>
      </c>
      <c r="C5" s="96"/>
      <c r="N5" s="28">
        <f>N3+2</f>
        <v>2</v>
      </c>
      <c r="O5" s="43">
        <f>SUM(O36:O47)</f>
        <v>0</v>
      </c>
      <c r="P5" s="43">
        <f>SUM(P36:P47)</f>
        <v>0</v>
      </c>
      <c r="Q5" s="43">
        <f>SUM(Q36:Q47)</f>
        <v>0</v>
      </c>
      <c r="R5" s="44">
        <f>IF($I$6=1,$B$5-(Q3+Q4+Q5),IF($I$6=2,$B$5-(Q4+Q5),IF($I$6=3,$B$5-(Q5),0)))</f>
        <v>0</v>
      </c>
      <c r="S5" s="1101">
        <f>IF($R$47=0,0,$R$47-$S$59)</f>
        <v>0</v>
      </c>
      <c r="T5" s="1101">
        <f>$S$59</f>
        <v>0</v>
      </c>
      <c r="U5" s="246">
        <f t="shared" si="0"/>
        <v>0</v>
      </c>
    </row>
    <row r="6" spans="1:25" ht="20.100000000000001" customHeight="1" thickBot="1">
      <c r="A6" s="11" t="s">
        <v>9</v>
      </c>
      <c r="B6" s="125">
        <f>'(0) 3b. Préstam Financ.'!R18</f>
        <v>0.05</v>
      </c>
      <c r="C6" s="96"/>
      <c r="D6" s="106"/>
      <c r="E6" s="12" t="s">
        <v>70</v>
      </c>
      <c r="F6" s="13"/>
      <c r="G6" s="14"/>
      <c r="H6" s="14"/>
      <c r="I6" s="129" t="str">
        <f>IF('(0) 3b. Préstam Financ.'!R17&gt;0,1,"")</f>
        <v/>
      </c>
      <c r="J6" s="15" t="s">
        <v>75</v>
      </c>
      <c r="N6" s="28">
        <f>N3+3</f>
        <v>3</v>
      </c>
      <c r="O6" s="43">
        <f>SUM(O48:O59)</f>
        <v>0</v>
      </c>
      <c r="P6" s="43">
        <f>IF(SUM(P48:P59)&lt;&gt;0,SUM(P48:P59),0)</f>
        <v>0</v>
      </c>
      <c r="Q6" s="43">
        <f>SUM(Q48:Q59)</f>
        <v>0</v>
      </c>
      <c r="R6" s="44">
        <f>IF($I$6=1,$B$5-(Q3+Q4+Q5+Q6),IF($I$6=2,$B$5-(Q4+Q5+Q6),IF($I$6=3,$B$5-(Q5+Q6),IF($I$6=4,$B$5-Q6,0))))</f>
        <v>0</v>
      </c>
      <c r="S6" s="1101">
        <f>IF($R$59=0,0,$R$59-$S$71)</f>
        <v>0</v>
      </c>
      <c r="T6" s="1101">
        <f>$S$71</f>
        <v>0</v>
      </c>
      <c r="U6" s="246">
        <f t="shared" si="0"/>
        <v>0</v>
      </c>
    </row>
    <row r="7" spans="1:25" ht="20.100000000000001" customHeight="1" thickBot="1">
      <c r="A7" s="11" t="s">
        <v>10</v>
      </c>
      <c r="B7" s="126">
        <f>'(0) 3b. Préstam Financ.'!R19</f>
        <v>5</v>
      </c>
      <c r="C7" s="96"/>
      <c r="N7" s="29">
        <f>N3+4</f>
        <v>4</v>
      </c>
      <c r="O7" s="48">
        <f>SUM(O60:O71)</f>
        <v>0</v>
      </c>
      <c r="P7" s="48">
        <f>SUM(P60:P71)</f>
        <v>0</v>
      </c>
      <c r="Q7" s="48">
        <f>SUM(Q60:Q71)</f>
        <v>0</v>
      </c>
      <c r="R7" s="49">
        <f>IF($I$6=1,$B$5-(Q3+Q4+Q5+Q6+Q7),IF($I$6=2,$B$5-(Q4+Q5+Q6+Q7),IF($I$6=3,$B$5-(Q5+Q6+Q7),IF($I$6=4,$B$5-(Q6+Q7),IF($I$6=5,$B$5-Q7,0)))))</f>
        <v>0</v>
      </c>
      <c r="S7" s="1101">
        <f>IF($R$71=0,0,$R$71-$S$83)</f>
        <v>0</v>
      </c>
      <c r="T7" s="1101">
        <f>$S$83</f>
        <v>0</v>
      </c>
      <c r="U7" s="246">
        <f t="shared" si="0"/>
        <v>0</v>
      </c>
    </row>
    <row r="8" spans="1:25" ht="20.100000000000001" customHeight="1" thickTop="1" thickBot="1">
      <c r="A8" s="11" t="s">
        <v>12</v>
      </c>
      <c r="B8" s="126">
        <f>'(0) 3b. Préstam Financ.'!R20</f>
        <v>12</v>
      </c>
      <c r="C8" s="96"/>
      <c r="N8" s="29">
        <f>N4+4</f>
        <v>5</v>
      </c>
      <c r="O8" s="48">
        <f>SUM(O72:O83)</f>
        <v>0</v>
      </c>
      <c r="P8" s="48">
        <f>SUM(P72:P83)</f>
        <v>0</v>
      </c>
      <c r="Q8" s="48">
        <f>SUM(Q72:Q83)</f>
        <v>0</v>
      </c>
      <c r="R8" s="49">
        <f>IF($I$6=1,$B$5-(Q3+Q4+Q5+Q6+Q7+Q8),IF($I$6=2,$B$5-(Q4+Q5+Q6+Q7+Q8),IF($I$6=3,$B$5-(Q5+Q6+Q7+Q8),IF($I$6=4,$B$5-(Q6+Q7+Q8),IF($I$6=5,$B$5-(Q7+Q8),IF($I$6=6,$B$5-(Q8),0))))))</f>
        <v>0</v>
      </c>
      <c r="S8" s="244"/>
      <c r="T8" s="244"/>
      <c r="U8" s="246">
        <f t="shared" si="0"/>
        <v>0</v>
      </c>
    </row>
    <row r="9" spans="1:25" ht="20.100000000000001" customHeight="1" thickTop="1" thickBot="1">
      <c r="A9" s="16"/>
      <c r="B9" s="127"/>
      <c r="C9" s="96"/>
      <c r="D9" s="108" t="s">
        <v>82</v>
      </c>
      <c r="E9" s="231">
        <f>'(0) 3b. Préstam Financ.'!R22*0</f>
        <v>0</v>
      </c>
      <c r="H9" s="108" t="s">
        <v>97</v>
      </c>
      <c r="I9" s="128">
        <f>'(0) 3b. Préstam Financ.'!R21</f>
        <v>0</v>
      </c>
      <c r="V9" s="251" t="s">
        <v>422</v>
      </c>
      <c r="W9" s="247"/>
      <c r="X9" s="247"/>
      <c r="Y9" s="248"/>
    </row>
    <row r="10" spans="1:25" ht="20.100000000000001" customHeight="1" thickTop="1" thickBot="1">
      <c r="R10" s="1098"/>
      <c r="S10" s="1098"/>
      <c r="V10" s="249" t="s">
        <v>15</v>
      </c>
      <c r="W10" s="242" t="s">
        <v>419</v>
      </c>
      <c r="X10" s="242" t="s">
        <v>420</v>
      </c>
      <c r="Y10" s="250"/>
    </row>
    <row r="11" spans="1:25" ht="33" customHeight="1" thickTop="1" thickBot="1">
      <c r="A11" s="17" t="s">
        <v>13</v>
      </c>
      <c r="B11" s="31" t="s">
        <v>14</v>
      </c>
      <c r="C11" s="18" t="s">
        <v>11</v>
      </c>
      <c r="D11" s="18" t="s">
        <v>6</v>
      </c>
      <c r="E11" s="19" t="s">
        <v>15</v>
      </c>
      <c r="F11" s="64"/>
      <c r="H11" s="17" t="s">
        <v>42</v>
      </c>
      <c r="I11" s="31" t="s">
        <v>14</v>
      </c>
      <c r="J11" s="31" t="s">
        <v>66</v>
      </c>
      <c r="K11" s="32" t="s">
        <v>67</v>
      </c>
      <c r="L11" s="20"/>
      <c r="M11" s="30"/>
      <c r="N11" s="17" t="s">
        <v>42</v>
      </c>
      <c r="O11" s="31" t="s">
        <v>14</v>
      </c>
      <c r="P11" s="31" t="s">
        <v>66</v>
      </c>
      <c r="Q11" s="32" t="s">
        <v>67</v>
      </c>
      <c r="R11" s="1099" t="s">
        <v>15</v>
      </c>
      <c r="V11" s="254">
        <f>R3+'Aux 4.1.2. Credito Inicial 2'!R3+'Aux 4.1.3.Crédito 1'!R3+'Aux 4.2.Crédito 2'!R3+'Aux 4.3.Crédito 3'!R3+'Aux 4.4.Crédito 4'!R3+'Aux 4.5.Crédito 5'!R3</f>
        <v>0</v>
      </c>
      <c r="W11" s="254">
        <f>S3+'Aux 4.1.2. Credito Inicial 2'!S3+'Aux 4.1.3.Crédito 1'!S3+'Aux 4.2.Crédito 2'!S3+'Aux 4.3.Crédito 3'!S3+'Aux 4.4.Crédito 4'!S3+'Aux 4.5.Crédito 5'!S3</f>
        <v>0</v>
      </c>
      <c r="X11" s="254">
        <f>T3+'Aux 4.1.2. Credito Inicial 2'!T3+'Aux 4.1.3.Crédito 1'!T3+'Aux 4.2.Crédito 2'!T3+'Aux 4.3.Crédito 3'!T3+'Aux 4.4.Crédito 4'!T3+'Aux 4.5.Crédito 5'!T3</f>
        <v>0</v>
      </c>
      <c r="Y11" s="257">
        <f>U3+'Aux 4.1.2. Credito Inicial 2'!U3+'Aux 4.1.3.Crédito 1'!U3+'Aux 4.2.Crédito 2'!U3+'Aux 4.3.Crédito 3'!U3+'Aux 4.4.Crédito 4'!U3+'Aux 4.5.Crédito 5'!U3</f>
        <v>0</v>
      </c>
    </row>
    <row r="12" spans="1:25" ht="15.75" customHeight="1" thickTop="1">
      <c r="A12" s="21">
        <v>1</v>
      </c>
      <c r="B12" s="43">
        <f t="shared" ref="B12:B43" si="1">IF(A12&gt;$I$9,IF(E11&gt;1,PMT($B$6/$B$8,$B$7*$B$8,-$B$5),0),0)</f>
        <v>0</v>
      </c>
      <c r="C12" s="122">
        <f>IF(B12&gt;0,B12-D12,E12*($B$6/$B$8))+E9</f>
        <v>0</v>
      </c>
      <c r="D12" s="41">
        <f>IF(A12&gt;$I$9,B12-($B$5*($B$6/$B$8)),0)</f>
        <v>0</v>
      </c>
      <c r="E12" s="67">
        <f>$B$5-D12</f>
        <v>0</v>
      </c>
      <c r="F12" s="51"/>
      <c r="G12" s="4194">
        <f>IF($B$5=0,$N$3,IF(O3&gt;0,N3,IF(O4&gt;0,N4,IF(O5&gt;0,N5,IF(O6&gt;0,N6,N7)))))</f>
        <v>0</v>
      </c>
      <c r="H12" s="34" t="s">
        <v>17</v>
      </c>
      <c r="I12" s="41">
        <f>$B$12</f>
        <v>0</v>
      </c>
      <c r="J12" s="41">
        <f>C12</f>
        <v>0</v>
      </c>
      <c r="K12" s="67">
        <f>D12</f>
        <v>0</v>
      </c>
      <c r="M12" s="4194">
        <f>'1.Datos Básicos. Product-Serv'!B7</f>
        <v>0</v>
      </c>
      <c r="N12" s="34" t="s">
        <v>17</v>
      </c>
      <c r="O12" s="41">
        <f t="shared" ref="O12:O23" si="2">IF($I$6=1,I12,0)</f>
        <v>0</v>
      </c>
      <c r="P12" s="41">
        <f t="shared" ref="P12:P23" si="3">IF($I$6=1,J12,0)</f>
        <v>0</v>
      </c>
      <c r="Q12" s="42">
        <f t="shared" ref="Q12:Q23" si="4">IF($I$6=1,K12,0)</f>
        <v>0</v>
      </c>
      <c r="R12" s="67">
        <f>$B$5-Q12</f>
        <v>0</v>
      </c>
      <c r="S12" s="51"/>
      <c r="V12" s="254">
        <f>R4+'Aux 4.1.2. Credito Inicial 2'!R4+'Aux 4.1.3.Crédito 1'!R4+'Aux 4.2.Crédito 2'!R4+'Aux 4.3.Crédito 3'!R4+'Aux 4.4.Crédito 4'!R4+'Aux 4.5.Crédito 5'!R4</f>
        <v>0</v>
      </c>
      <c r="W12" s="254">
        <f>S4+'Aux 4.1.2. Credito Inicial 2'!S4+'Aux 4.1.3.Crédito 1'!S4+'Aux 4.2.Crédito 2'!S4+'Aux 4.3.Crédito 3'!S4+'Aux 4.4.Crédito 4'!S4+'Aux 4.5.Crédito 5'!S4</f>
        <v>0</v>
      </c>
      <c r="X12" s="254">
        <f>T4+'Aux 4.1.2. Credito Inicial 2'!T4+'Aux 4.1.3.Crédito 1'!T4+'Aux 4.2.Crédito 2'!T4+'Aux 4.3.Crédito 3'!T4+'Aux 4.4.Crédito 4'!T4+'Aux 4.5.Crédito 5'!T4</f>
        <v>0</v>
      </c>
      <c r="Y12" s="257">
        <f>U4+'Aux 4.1.2. Credito Inicial 2'!U4+'Aux 4.1.3.Crédito 1'!U4+'Aux 4.2.Crédito 2'!U4+'Aux 4.3.Crédito 3'!U4+'Aux 4.4.Crédito 4'!U4+'Aux 4.5.Crédito 5'!U4</f>
        <v>0</v>
      </c>
    </row>
    <row r="13" spans="1:25" ht="15.75" customHeight="1">
      <c r="A13" s="23">
        <v>2</v>
      </c>
      <c r="B13" s="43">
        <f t="shared" si="1"/>
        <v>0</v>
      </c>
      <c r="C13" s="123">
        <f t="shared" ref="C13:C71" si="5">IF(B13&gt;0,B13-D13,E13*($B$6/$B$8))</f>
        <v>0</v>
      </c>
      <c r="D13" s="43">
        <f t="shared" ref="D13:D44" si="6">IF(A13&gt;$I$9,B13-(E12*($B$6/$B$8)),0)</f>
        <v>0</v>
      </c>
      <c r="E13" s="68">
        <f t="shared" ref="E13:E44" si="7">IF((E12-D13)&gt;0,E12-D13,0)</f>
        <v>0</v>
      </c>
      <c r="F13" s="51"/>
      <c r="G13" s="4195"/>
      <c r="H13" s="9" t="s">
        <v>18</v>
      </c>
      <c r="I13" s="43">
        <f>IF($B$8=12,B13,0)</f>
        <v>0</v>
      </c>
      <c r="J13" s="43">
        <f>IF($B$8=12,C13,0)</f>
        <v>0</v>
      </c>
      <c r="K13" s="68">
        <f>IF($B$8=12,D13,0)</f>
        <v>0</v>
      </c>
      <c r="M13" s="4195"/>
      <c r="N13" s="9" t="s">
        <v>18</v>
      </c>
      <c r="O13" s="43">
        <f t="shared" si="2"/>
        <v>0</v>
      </c>
      <c r="P13" s="43">
        <f t="shared" si="3"/>
        <v>0</v>
      </c>
      <c r="Q13" s="44">
        <f t="shared" si="4"/>
        <v>0</v>
      </c>
      <c r="R13" s="68">
        <f>IF((R12-Q13)&gt;0,R12-Q13,0)</f>
        <v>0</v>
      </c>
      <c r="S13" s="51"/>
      <c r="V13" s="254">
        <f>R5+'Aux 4.1.2. Credito Inicial 2'!R5+'Aux 4.1.3.Crédito 1'!R5+'Aux 4.2.Crédito 2'!R5+'Aux 4.3.Crédito 3'!R5+'Aux 4.4.Crédito 4'!R5+'Aux 4.5.Crédito 5'!R5</f>
        <v>0</v>
      </c>
      <c r="W13" s="254">
        <f>S5+'Aux 4.1.2. Credito Inicial 2'!S5+'Aux 4.1.3.Crédito 1'!S5+'Aux 4.2.Crédito 2'!S5+'Aux 4.3.Crédito 3'!S5+'Aux 4.4.Crédito 4'!S5+'Aux 4.5.Crédito 5'!S5</f>
        <v>0</v>
      </c>
      <c r="X13" s="254">
        <f>T5+'Aux 4.1.2. Credito Inicial 2'!T5+'Aux 4.1.3.Crédito 1'!T5+'Aux 4.2.Crédito 2'!T5+'Aux 4.3.Crédito 3'!T5+'Aux 4.4.Crédito 4'!T5+'Aux 4.5.Crédito 5'!T5</f>
        <v>0</v>
      </c>
      <c r="Y13" s="257">
        <f>U5+'Aux 4.1.2. Credito Inicial 2'!U5+'Aux 4.1.3.Crédito 1'!U5+'Aux 4.2.Crédito 2'!U5+'Aux 4.3.Crédito 3'!U5+'Aux 4.4.Crédito 4'!U5+'Aux 4.5.Crédito 5'!U5</f>
        <v>0</v>
      </c>
    </row>
    <row r="14" spans="1:25" ht="15.75" customHeight="1">
      <c r="A14" s="23">
        <v>3</v>
      </c>
      <c r="B14" s="43">
        <f t="shared" si="1"/>
        <v>0</v>
      </c>
      <c r="C14" s="123">
        <f t="shared" si="5"/>
        <v>0</v>
      </c>
      <c r="D14" s="43">
        <f t="shared" si="6"/>
        <v>0</v>
      </c>
      <c r="E14" s="68">
        <f t="shared" si="7"/>
        <v>0</v>
      </c>
      <c r="F14" s="51"/>
      <c r="G14" s="4195"/>
      <c r="H14" s="9" t="s">
        <v>19</v>
      </c>
      <c r="I14" s="43">
        <f>IF($B$8=12,B14,IF($B$8=6,B13,0))</f>
        <v>0</v>
      </c>
      <c r="J14" s="43">
        <f>IF($B$8=12,C14,IF($B$8=6,C13,0))</f>
        <v>0</v>
      </c>
      <c r="K14" s="68">
        <f>IF($B$8=12,D14,IF($B$8=6,D13,0))</f>
        <v>0</v>
      </c>
      <c r="M14" s="4195"/>
      <c r="N14" s="9" t="s">
        <v>19</v>
      </c>
      <c r="O14" s="43">
        <f t="shared" si="2"/>
        <v>0</v>
      </c>
      <c r="P14" s="43">
        <f t="shared" si="3"/>
        <v>0</v>
      </c>
      <c r="Q14" s="44">
        <f t="shared" si="4"/>
        <v>0</v>
      </c>
      <c r="R14" s="68">
        <f t="shared" ref="R14:R77" si="8">IF((R13-Q14)&gt;0,R13-Q14,0)</f>
        <v>0</v>
      </c>
      <c r="S14" s="51"/>
      <c r="V14" s="254">
        <f>R6+'Aux 4.1.2. Credito Inicial 2'!R6+'Aux 4.1.3.Crédito 1'!R6+'Aux 4.2.Crédito 2'!R6+'Aux 4.3.Crédito 3'!R6+'Aux 4.4.Crédito 4'!R6+'Aux 4.5.Crédito 5'!R6</f>
        <v>0</v>
      </c>
      <c r="W14" s="254">
        <f>S6+'Aux 4.1.2. Credito Inicial 2'!S6+'Aux 4.1.3.Crédito 1'!S6+'Aux 4.2.Crédito 2'!S6+'Aux 4.3.Crédito 3'!S6+'Aux 4.4.Crédito 4'!S6+'Aux 4.5.Crédito 5'!S6</f>
        <v>0</v>
      </c>
      <c r="X14" s="254">
        <f>T6+'Aux 4.1.2. Credito Inicial 2'!T6+'Aux 4.1.3.Crédito 1'!T6+'Aux 4.2.Crédito 2'!T6+'Aux 4.3.Crédito 3'!T6+'Aux 4.4.Crédito 4'!T6+'Aux 4.5.Crédito 5'!T6</f>
        <v>0</v>
      </c>
      <c r="Y14" s="257">
        <f>U6+'Aux 4.1.2. Credito Inicial 2'!U6+'Aux 4.1.3.Crédito 1'!U6+'Aux 4.2.Crédito 2'!U6+'Aux 4.3.Crédito 3'!U6+'Aux 4.4.Crédito 4'!U6+'Aux 4.5.Crédito 5'!U6</f>
        <v>0</v>
      </c>
    </row>
    <row r="15" spans="1:25" ht="15.75" customHeight="1" thickBot="1">
      <c r="A15" s="23">
        <v>4</v>
      </c>
      <c r="B15" s="43">
        <f t="shared" si="1"/>
        <v>0</v>
      </c>
      <c r="C15" s="123">
        <f t="shared" si="5"/>
        <v>0</v>
      </c>
      <c r="D15" s="43">
        <f t="shared" si="6"/>
        <v>0</v>
      </c>
      <c r="E15" s="68">
        <f t="shared" si="7"/>
        <v>0</v>
      </c>
      <c r="F15" s="51"/>
      <c r="G15" s="4195"/>
      <c r="H15" s="9" t="s">
        <v>20</v>
      </c>
      <c r="I15" s="43">
        <f>IF($B$8=12,B15,IF($B$8=4,B13,IF($B$8=6,0,IF($B$8=3,0,0))))</f>
        <v>0</v>
      </c>
      <c r="J15" s="43">
        <f>IF($B$8=12,C15,IF($B$8=4,C13,IF($B$8=6,0,IF($B$8=3,0,0))))</f>
        <v>0</v>
      </c>
      <c r="K15" s="68">
        <f>IF($B$8=12,D15,IF($B$8=4,D13,IF($B$8=6,0,IF($B$8=3,0,0))))</f>
        <v>0</v>
      </c>
      <c r="M15" s="4195"/>
      <c r="N15" s="9" t="s">
        <v>20</v>
      </c>
      <c r="O15" s="43">
        <f t="shared" si="2"/>
        <v>0</v>
      </c>
      <c r="P15" s="43">
        <f t="shared" si="3"/>
        <v>0</v>
      </c>
      <c r="Q15" s="44">
        <f t="shared" si="4"/>
        <v>0</v>
      </c>
      <c r="R15" s="68">
        <f t="shared" si="8"/>
        <v>0</v>
      </c>
      <c r="S15" s="51"/>
      <c r="V15" s="254">
        <f>R7+'Aux 4.1.2. Credito Inicial 2'!R7+'Aux 4.1.3.Crédito 1'!R7+'Aux 4.2.Crédito 2'!R7+'Aux 4.3.Crédito 3'!R7+'Aux 4.4.Crédito 4'!R7+'Aux 4.5.Crédito 5'!R7</f>
        <v>0</v>
      </c>
      <c r="W15" s="254">
        <f>S7+'Aux 4.1.2. Credito Inicial 2'!S7+'Aux 4.1.3.Crédito 1'!S7+'Aux 4.2.Crédito 2'!S7+'Aux 4.3.Crédito 3'!S7+'Aux 4.4.Crédito 4'!S7+'Aux 4.5.Crédito 5'!S7</f>
        <v>0</v>
      </c>
      <c r="X15" s="254">
        <f>T7+'Aux 4.1.2. Credito Inicial 2'!T7+'Aux 4.1.3.Crédito 1'!T7+'Aux 4.2.Crédito 2'!T7+'Aux 4.3.Crédito 3'!T7+'Aux 4.4.Crédito 4'!T7+'Aux 4.5.Crédito 5'!T7</f>
        <v>0</v>
      </c>
      <c r="Y15" s="257">
        <f>U7+'Aux 4.1.2. Credito Inicial 2'!U7+'Aux 4.1.3.Crédito 1'!U7+'Aux 4.2.Crédito 2'!U7+'Aux 4.3.Crédito 3'!U7+'Aux 4.4.Crédito 4'!U7+'Aux 4.5.Crédito 5'!U7</f>
        <v>0</v>
      </c>
    </row>
    <row r="16" spans="1:25" ht="15.75" customHeight="1" thickTop="1" thickBot="1">
      <c r="A16" s="23">
        <v>5</v>
      </c>
      <c r="B16" s="43">
        <f t="shared" si="1"/>
        <v>0</v>
      </c>
      <c r="C16" s="123">
        <f t="shared" si="5"/>
        <v>0</v>
      </c>
      <c r="D16" s="43">
        <f t="shared" si="6"/>
        <v>0</v>
      </c>
      <c r="E16" s="68">
        <f t="shared" si="7"/>
        <v>0</v>
      </c>
      <c r="F16" s="51"/>
      <c r="G16" s="4195"/>
      <c r="H16" s="9" t="s">
        <v>21</v>
      </c>
      <c r="I16" s="43">
        <f>IF($B$8=12,B16,IF($B$8=4,0,IF($B$8=6,B14,IF($B$8=3,B13,0))))</f>
        <v>0</v>
      </c>
      <c r="J16" s="43">
        <f>IF($B$8=12,C16,IF($B$8=4,0,IF($B$8=6,C14,IF($B$8=3,C13,0))))</f>
        <v>0</v>
      </c>
      <c r="K16" s="68">
        <f>IF($B$8=12,D16,IF($B$8=4,0,IF($B$8=6,D14,IF($B$8=3,D13,0))))</f>
        <v>0</v>
      </c>
      <c r="M16" s="4195"/>
      <c r="N16" s="9" t="s">
        <v>21</v>
      </c>
      <c r="O16" s="43">
        <f t="shared" si="2"/>
        <v>0</v>
      </c>
      <c r="P16" s="43">
        <f t="shared" si="3"/>
        <v>0</v>
      </c>
      <c r="Q16" s="44">
        <f t="shared" si="4"/>
        <v>0</v>
      </c>
      <c r="R16" s="68">
        <f t="shared" si="8"/>
        <v>0</v>
      </c>
      <c r="S16" s="51"/>
      <c r="V16" s="252">
        <f>R8+'Aux 4.1.2. Credito Inicial 2'!R8+'Aux 4.1.3.Crédito 1'!R8+'Aux 4.2.Crédito 2'!R8+'Aux 4.3.Crédito 3'!R8+'Aux 4.4.Crédito 4'!R8+'Aux 4.5.Crédito 5'!R8</f>
        <v>0</v>
      </c>
      <c r="W16" s="252">
        <f>S8+'Aux 4.1.2. Credito Inicial 2'!S8+'Aux 4.1.3.Crédito 1'!S8+'Aux 4.2.Crédito 2'!S8+'Aux 4.3.Crédito 3'!S8+'Aux 4.4.Crédito 4'!S8+'Aux 4.5.Crédito 5'!S8</f>
        <v>0</v>
      </c>
      <c r="X16" s="252">
        <f>T8+'Aux 4.1.2. Credito Inicial 2'!T8+'Aux 4.1.3.Crédito 1'!T8+'Aux 4.2.Crédito 2'!T8+'Aux 4.3.Crédito 3'!T8+'Aux 4.4.Crédito 4'!T8+'Aux 4.5.Crédito 5'!T8</f>
        <v>0</v>
      </c>
      <c r="Y16" s="256">
        <f>U8+'Aux 4.1.2. Credito Inicial 2'!U8+'Aux 4.1.3.Crédito 1'!U8+'Aux 4.2.Crédito 2'!U8+'Aux 4.3.Crédito 3'!U8+'Aux 4.4.Crédito 4'!U8+'Aux 4.5.Crédito 5'!U8</f>
        <v>0</v>
      </c>
    </row>
    <row r="17" spans="1:19" ht="15.75" customHeight="1" thickTop="1">
      <c r="A17" s="23">
        <v>6</v>
      </c>
      <c r="B17" s="43">
        <f t="shared" si="1"/>
        <v>0</v>
      </c>
      <c r="C17" s="123">
        <f t="shared" si="5"/>
        <v>0</v>
      </c>
      <c r="D17" s="43">
        <f t="shared" si="6"/>
        <v>0</v>
      </c>
      <c r="E17" s="68">
        <f t="shared" si="7"/>
        <v>0</v>
      </c>
      <c r="F17" s="51"/>
      <c r="G17" s="4195"/>
      <c r="H17" s="9" t="s">
        <v>22</v>
      </c>
      <c r="I17" s="43">
        <f>IF($B$8=12,B17,IF($B$8=4,0,IF($B$8=6,0,IF($B$8=3,0,0))))</f>
        <v>0</v>
      </c>
      <c r="J17" s="43">
        <f>IF($B$8=12,C17,IF($B$8=4,0,IF($B$8=6,0,IF($B$8=3,0,0))))</f>
        <v>0</v>
      </c>
      <c r="K17" s="68">
        <f>IF($B$8=12,D17,IF($B$8=4,0,IF($B$8=6,0,IF($B$8=3,0,0))))</f>
        <v>0</v>
      </c>
      <c r="M17" s="4195"/>
      <c r="N17" s="9" t="s">
        <v>22</v>
      </c>
      <c r="O17" s="43">
        <f t="shared" si="2"/>
        <v>0</v>
      </c>
      <c r="P17" s="43">
        <f t="shared" si="3"/>
        <v>0</v>
      </c>
      <c r="Q17" s="44">
        <f t="shared" si="4"/>
        <v>0</v>
      </c>
      <c r="R17" s="68">
        <f t="shared" si="8"/>
        <v>0</v>
      </c>
      <c r="S17" s="51"/>
    </row>
    <row r="18" spans="1:19" ht="15.75" customHeight="1">
      <c r="A18" s="23">
        <v>7</v>
      </c>
      <c r="B18" s="43">
        <f t="shared" si="1"/>
        <v>0</v>
      </c>
      <c r="C18" s="123">
        <f t="shared" si="5"/>
        <v>0</v>
      </c>
      <c r="D18" s="43">
        <f t="shared" si="6"/>
        <v>0</v>
      </c>
      <c r="E18" s="68">
        <f t="shared" si="7"/>
        <v>0</v>
      </c>
      <c r="F18" s="51"/>
      <c r="G18" s="4195"/>
      <c r="H18" s="9" t="s">
        <v>23</v>
      </c>
      <c r="I18" s="43">
        <f>IF($B$8=12,B18,IF($B$8=4,B14,IF($B$8=6,B15,IF($B$8=3,0,IF($B$8=2,B13,0)))))</f>
        <v>0</v>
      </c>
      <c r="J18" s="43">
        <f>IF($B$8=12,C18,IF($B$8=4,C14,IF($B$8=6,C15,IF($B$8=3,0,IF($B$8=2,C13,0)))))</f>
        <v>0</v>
      </c>
      <c r="K18" s="68">
        <f>IF($B$8=12,D18,IF($B$8=4,D14,IF($B$8=6,D15,IF($B$8=3,0,IF($B$8=2,D13,0)))))</f>
        <v>0</v>
      </c>
      <c r="M18" s="4195"/>
      <c r="N18" s="9" t="s">
        <v>23</v>
      </c>
      <c r="O18" s="43">
        <f t="shared" si="2"/>
        <v>0</v>
      </c>
      <c r="P18" s="43">
        <f t="shared" si="3"/>
        <v>0</v>
      </c>
      <c r="Q18" s="44">
        <f t="shared" si="4"/>
        <v>0</v>
      </c>
      <c r="R18" s="68">
        <f t="shared" si="8"/>
        <v>0</v>
      </c>
      <c r="S18" s="51"/>
    </row>
    <row r="19" spans="1:19" ht="15.75" customHeight="1">
      <c r="A19" s="23">
        <v>8</v>
      </c>
      <c r="B19" s="43">
        <f t="shared" si="1"/>
        <v>0</v>
      </c>
      <c r="C19" s="123">
        <f t="shared" si="5"/>
        <v>0</v>
      </c>
      <c r="D19" s="43">
        <f t="shared" si="6"/>
        <v>0</v>
      </c>
      <c r="E19" s="68">
        <f t="shared" si="7"/>
        <v>0</v>
      </c>
      <c r="F19" s="51"/>
      <c r="G19" s="4195"/>
      <c r="H19" s="9" t="s">
        <v>24</v>
      </c>
      <c r="I19" s="43">
        <f>IF($B$8=12,B19,IF($B$8=4,0,IF($B$8=6,0,IF($B$8=3,0,0))))</f>
        <v>0</v>
      </c>
      <c r="J19" s="43">
        <f>IF($B$8=12,C19,IF($B$8=4,0,IF($B$8=6,0,IF($B$8=3,0,0))))</f>
        <v>0</v>
      </c>
      <c r="K19" s="68">
        <f>IF($B$8=12,D19,IF($B$8=4,0,IF($B$8=6,0,IF($B$8=3,0,0))))</f>
        <v>0</v>
      </c>
      <c r="M19" s="4195"/>
      <c r="N19" s="9" t="s">
        <v>24</v>
      </c>
      <c r="O19" s="43">
        <f t="shared" si="2"/>
        <v>0</v>
      </c>
      <c r="P19" s="43">
        <f t="shared" si="3"/>
        <v>0</v>
      </c>
      <c r="Q19" s="44">
        <f t="shared" si="4"/>
        <v>0</v>
      </c>
      <c r="R19" s="68">
        <f t="shared" si="8"/>
        <v>0</v>
      </c>
      <c r="S19" s="51"/>
    </row>
    <row r="20" spans="1:19" ht="15.75" customHeight="1">
      <c r="A20" s="23">
        <v>9</v>
      </c>
      <c r="B20" s="43">
        <f t="shared" si="1"/>
        <v>0</v>
      </c>
      <c r="C20" s="123">
        <f t="shared" si="5"/>
        <v>0</v>
      </c>
      <c r="D20" s="43">
        <f t="shared" si="6"/>
        <v>0</v>
      </c>
      <c r="E20" s="68">
        <f t="shared" si="7"/>
        <v>0</v>
      </c>
      <c r="F20" s="51"/>
      <c r="G20" s="4195"/>
      <c r="H20" s="9" t="s">
        <v>25</v>
      </c>
      <c r="I20" s="43">
        <f>IF($B$8=12,B20,IF($B$8=4,0,IF($B$8=6,B16,IF($B$8=3,B14,0))))</f>
        <v>0</v>
      </c>
      <c r="J20" s="43">
        <f>IF($B$8=12,C20,IF($B$8=4,0,IF($B$8=6,C16,IF($B$8=3,C14,0))))</f>
        <v>0</v>
      </c>
      <c r="K20" s="68">
        <f>IF($B$8=12,D20,IF($B$8=4,0,IF($B$8=6,D16,IF($B$8=3,D14,0))))</f>
        <v>0</v>
      </c>
      <c r="M20" s="4195"/>
      <c r="N20" s="9" t="s">
        <v>25</v>
      </c>
      <c r="O20" s="43">
        <f t="shared" si="2"/>
        <v>0</v>
      </c>
      <c r="P20" s="43">
        <f t="shared" si="3"/>
        <v>0</v>
      </c>
      <c r="Q20" s="44">
        <f t="shared" si="4"/>
        <v>0</v>
      </c>
      <c r="R20" s="68">
        <f t="shared" si="8"/>
        <v>0</v>
      </c>
      <c r="S20" s="51"/>
    </row>
    <row r="21" spans="1:19" ht="15.75" customHeight="1">
      <c r="A21" s="23">
        <v>10</v>
      </c>
      <c r="B21" s="43">
        <f t="shared" si="1"/>
        <v>0</v>
      </c>
      <c r="C21" s="123">
        <f t="shared" si="5"/>
        <v>0</v>
      </c>
      <c r="D21" s="43">
        <f t="shared" si="6"/>
        <v>0</v>
      </c>
      <c r="E21" s="68">
        <f t="shared" si="7"/>
        <v>0</v>
      </c>
      <c r="F21" s="51"/>
      <c r="G21" s="4195"/>
      <c r="H21" s="9" t="s">
        <v>26</v>
      </c>
      <c r="I21" s="43">
        <f>IF($B$8=12,B21,IF($B$8=4,B15,IF($B$8=6,0,IF($B$8=3,0,0))))</f>
        <v>0</v>
      </c>
      <c r="J21" s="43">
        <f>IF($B$8=12,C21,IF($B$8=4,C15,IF($B$8=6,0,IF($B$8=3,0,0))))</f>
        <v>0</v>
      </c>
      <c r="K21" s="68">
        <f>IF($B$8=12,D21,IF($B$8=4,D15,IF($B$8=6,0,IF($B$8=3,0,0))))</f>
        <v>0</v>
      </c>
      <c r="M21" s="4195"/>
      <c r="N21" s="9" t="s">
        <v>26</v>
      </c>
      <c r="O21" s="43">
        <f t="shared" si="2"/>
        <v>0</v>
      </c>
      <c r="P21" s="43">
        <f t="shared" si="3"/>
        <v>0</v>
      </c>
      <c r="Q21" s="44">
        <f t="shared" si="4"/>
        <v>0</v>
      </c>
      <c r="R21" s="68">
        <f t="shared" si="8"/>
        <v>0</v>
      </c>
      <c r="S21" s="51"/>
    </row>
    <row r="22" spans="1:19" ht="15.75" customHeight="1">
      <c r="A22" s="23">
        <v>11</v>
      </c>
      <c r="B22" s="43">
        <f t="shared" si="1"/>
        <v>0</v>
      </c>
      <c r="C22" s="123">
        <f t="shared" si="5"/>
        <v>0</v>
      </c>
      <c r="D22" s="43">
        <f t="shared" si="6"/>
        <v>0</v>
      </c>
      <c r="E22" s="68">
        <f t="shared" si="7"/>
        <v>0</v>
      </c>
      <c r="F22" s="51"/>
      <c r="G22" s="4195"/>
      <c r="H22" s="9" t="s">
        <v>27</v>
      </c>
      <c r="I22" s="43">
        <f>IF($B$8=12,B22,IF($B$8=4,0,IF($B$8=6,B17,IF($B$8=3,0,0))))</f>
        <v>0</v>
      </c>
      <c r="J22" s="43">
        <f>IF($B$8=12,C22,IF($B$8=4,0,IF($B$8=6,C17,IF($B$8=3,0,0))))</f>
        <v>0</v>
      </c>
      <c r="K22" s="68">
        <f>IF($B$8=12,D22,IF($B$8=4,0,IF($B$8=6,D17,IF($B$8=3,0,0))))</f>
        <v>0</v>
      </c>
      <c r="M22" s="4195"/>
      <c r="N22" s="9" t="s">
        <v>27</v>
      </c>
      <c r="O22" s="43">
        <f t="shared" si="2"/>
        <v>0</v>
      </c>
      <c r="P22" s="43">
        <f t="shared" si="3"/>
        <v>0</v>
      </c>
      <c r="Q22" s="44">
        <f t="shared" si="4"/>
        <v>0</v>
      </c>
      <c r="R22" s="68">
        <f t="shared" si="8"/>
        <v>0</v>
      </c>
      <c r="S22" s="51"/>
    </row>
    <row r="23" spans="1:19" ht="15.75" customHeight="1" thickBot="1">
      <c r="A23" s="24">
        <v>12</v>
      </c>
      <c r="B23" s="70">
        <f t="shared" si="1"/>
        <v>0</v>
      </c>
      <c r="C23" s="139">
        <f t="shared" si="5"/>
        <v>0</v>
      </c>
      <c r="D23" s="70">
        <f t="shared" si="6"/>
        <v>0</v>
      </c>
      <c r="E23" s="75">
        <f t="shared" si="7"/>
        <v>0</v>
      </c>
      <c r="F23" s="243">
        <f>SUM(D12:D23)</f>
        <v>0</v>
      </c>
      <c r="G23" s="4196"/>
      <c r="H23" s="37" t="s">
        <v>28</v>
      </c>
      <c r="I23" s="70">
        <f>IF($B$8=12,B23,IF($B$8=4,0,IF($B$8=6,0,IF($B$8=3,0,0))))</f>
        <v>0</v>
      </c>
      <c r="J23" s="70">
        <f>IF($B$8=12,C23,IF($B$8=4,0,IF($B$8=6,0,IF($B$8=3,0,0))))</f>
        <v>0</v>
      </c>
      <c r="K23" s="72">
        <f>IF($B$8=12,D23,IF($B$8=4,0,IF($B$8=6,0,IF($B$8=3,0,0))))</f>
        <v>0</v>
      </c>
      <c r="M23" s="4196"/>
      <c r="N23" s="35" t="s">
        <v>28</v>
      </c>
      <c r="O23" s="45">
        <f t="shared" si="2"/>
        <v>0</v>
      </c>
      <c r="P23" s="45">
        <f t="shared" si="3"/>
        <v>0</v>
      </c>
      <c r="Q23" s="46">
        <f t="shared" si="4"/>
        <v>0</v>
      </c>
      <c r="R23" s="75">
        <f t="shared" si="8"/>
        <v>0</v>
      </c>
      <c r="S23" s="1100">
        <f>SUM(Q12:Q23)</f>
        <v>0</v>
      </c>
    </row>
    <row r="24" spans="1:19" ht="15.75" customHeight="1">
      <c r="A24" s="23">
        <v>13</v>
      </c>
      <c r="B24" s="43">
        <f t="shared" si="1"/>
        <v>0</v>
      </c>
      <c r="C24" s="123">
        <f t="shared" si="5"/>
        <v>0</v>
      </c>
      <c r="D24" s="43">
        <f t="shared" si="6"/>
        <v>0</v>
      </c>
      <c r="E24" s="68">
        <f t="shared" si="7"/>
        <v>0</v>
      </c>
      <c r="F24" s="51"/>
      <c r="G24" s="4194">
        <f>G12+1</f>
        <v>1</v>
      </c>
      <c r="H24" s="22" t="s">
        <v>17</v>
      </c>
      <c r="I24" s="43">
        <f>IF($B$8=12,B24,IF($B$8=4,B16,IF($B$8=6,B18,IF($B$8=3,B15,IF($B$8=2,B14,IF($B$8,B13,0))))))</f>
        <v>0</v>
      </c>
      <c r="J24" s="43">
        <f>IF($B$8=12,C24,IF($B$8=4,C16,IF($B$8=6,C18,IF($B$8=3,C15,IF($B$8=2,C14,IF($B$8,C13,0))))))</f>
        <v>0</v>
      </c>
      <c r="K24" s="68">
        <f>IF($B$8=12,D24,IF($B$8=4,D16,IF($B$8=6,D18,IF($B$8=3,D15,IF($B$8=2,D14,IF($B$8,D13,0))))))</f>
        <v>0</v>
      </c>
      <c r="M24" s="4194">
        <f>M12+1</f>
        <v>1</v>
      </c>
      <c r="N24" s="9" t="s">
        <v>17</v>
      </c>
      <c r="O24" s="43">
        <f t="shared" ref="O24:O35" si="9">IF($I$6=2,I12,IF($I$6=1,I24,0))</f>
        <v>0</v>
      </c>
      <c r="P24" s="43">
        <f t="shared" ref="P24:P35" si="10">IF($I$6=2,J12,IF($I$6=1,J24,0))</f>
        <v>0</v>
      </c>
      <c r="Q24" s="44">
        <f t="shared" ref="Q24:Q35" si="11">IF($I$6=2,K12,IF($I$6=1,K24,0))</f>
        <v>0</v>
      </c>
      <c r="R24" s="68">
        <f t="shared" si="8"/>
        <v>0</v>
      </c>
      <c r="S24" s="51"/>
    </row>
    <row r="25" spans="1:19" ht="15.75" customHeight="1">
      <c r="A25" s="23">
        <v>14</v>
      </c>
      <c r="B25" s="43">
        <f t="shared" si="1"/>
        <v>0</v>
      </c>
      <c r="C25" s="123">
        <f t="shared" si="5"/>
        <v>0</v>
      </c>
      <c r="D25" s="43">
        <f t="shared" si="6"/>
        <v>0</v>
      </c>
      <c r="E25" s="68">
        <f t="shared" si="7"/>
        <v>0</v>
      </c>
      <c r="F25" s="51"/>
      <c r="G25" s="4195"/>
      <c r="H25" s="22" t="s">
        <v>18</v>
      </c>
      <c r="I25" s="43">
        <f>IF($B$8=12,B25,0)</f>
        <v>0</v>
      </c>
      <c r="J25" s="43">
        <f>IF($B$8=12,C25,0)</f>
        <v>0</v>
      </c>
      <c r="K25" s="68">
        <f>IF($B$8=12,D25,0)</f>
        <v>0</v>
      </c>
      <c r="M25" s="4195"/>
      <c r="N25" s="9" t="s">
        <v>18</v>
      </c>
      <c r="O25" s="43">
        <f t="shared" si="9"/>
        <v>0</v>
      </c>
      <c r="P25" s="43">
        <f t="shared" si="10"/>
        <v>0</v>
      </c>
      <c r="Q25" s="44">
        <f t="shared" si="11"/>
        <v>0</v>
      </c>
      <c r="R25" s="68">
        <f t="shared" si="8"/>
        <v>0</v>
      </c>
      <c r="S25" s="51"/>
    </row>
    <row r="26" spans="1:19" ht="15.75" customHeight="1">
      <c r="A26" s="23">
        <v>15</v>
      </c>
      <c r="B26" s="43">
        <f t="shared" si="1"/>
        <v>0</v>
      </c>
      <c r="C26" s="123">
        <f t="shared" si="5"/>
        <v>0</v>
      </c>
      <c r="D26" s="43">
        <f t="shared" si="6"/>
        <v>0</v>
      </c>
      <c r="E26" s="68">
        <f t="shared" si="7"/>
        <v>0</v>
      </c>
      <c r="F26" s="51"/>
      <c r="G26" s="4195"/>
      <c r="H26" s="22" t="s">
        <v>19</v>
      </c>
      <c r="I26" s="43">
        <f>IF($B$8=12,B26,IF($B$8=6,B19,0))</f>
        <v>0</v>
      </c>
      <c r="J26" s="43">
        <f>IF($B$8=12,C26,IF($B$8=6,C19,0))</f>
        <v>0</v>
      </c>
      <c r="K26" s="68">
        <f>IF($B$8=12,D26,IF($B$8=6,D19,0))</f>
        <v>0</v>
      </c>
      <c r="M26" s="4195"/>
      <c r="N26" s="9" t="s">
        <v>19</v>
      </c>
      <c r="O26" s="43">
        <f t="shared" si="9"/>
        <v>0</v>
      </c>
      <c r="P26" s="43">
        <f t="shared" si="10"/>
        <v>0</v>
      </c>
      <c r="Q26" s="44">
        <f t="shared" si="11"/>
        <v>0</v>
      </c>
      <c r="R26" s="68">
        <f t="shared" si="8"/>
        <v>0</v>
      </c>
      <c r="S26" s="51"/>
    </row>
    <row r="27" spans="1:19" ht="15.75" customHeight="1">
      <c r="A27" s="23">
        <v>16</v>
      </c>
      <c r="B27" s="43">
        <f t="shared" si="1"/>
        <v>0</v>
      </c>
      <c r="C27" s="123">
        <f t="shared" si="5"/>
        <v>0</v>
      </c>
      <c r="D27" s="43">
        <f t="shared" si="6"/>
        <v>0</v>
      </c>
      <c r="E27" s="68">
        <f t="shared" si="7"/>
        <v>0</v>
      </c>
      <c r="F27" s="51"/>
      <c r="G27" s="4195"/>
      <c r="H27" s="22" t="s">
        <v>20</v>
      </c>
      <c r="I27" s="43">
        <f>IF($B$8=12,B27,IF($B$8=4,B17,IF($B$8=6,0,IF($B$8=3,0,0))))</f>
        <v>0</v>
      </c>
      <c r="J27" s="43">
        <f>IF($B$8=12,C27,IF($B$8=4,C17,IF($B$8=6,0,IF($B$8=3,0,0))))</f>
        <v>0</v>
      </c>
      <c r="K27" s="68">
        <f>IF($B$8=12,D27,IF($B$8=4,D17,IF($B$8=6,0,IF($B$8=3,0,0))))</f>
        <v>0</v>
      </c>
      <c r="M27" s="4195"/>
      <c r="N27" s="9" t="s">
        <v>20</v>
      </c>
      <c r="O27" s="43">
        <f t="shared" si="9"/>
        <v>0</v>
      </c>
      <c r="P27" s="43">
        <f t="shared" si="10"/>
        <v>0</v>
      </c>
      <c r="Q27" s="44">
        <f t="shared" si="11"/>
        <v>0</v>
      </c>
      <c r="R27" s="68">
        <f t="shared" si="8"/>
        <v>0</v>
      </c>
      <c r="S27" s="51"/>
    </row>
    <row r="28" spans="1:19" ht="15.75" customHeight="1">
      <c r="A28" s="23">
        <v>17</v>
      </c>
      <c r="B28" s="43">
        <f t="shared" si="1"/>
        <v>0</v>
      </c>
      <c r="C28" s="123">
        <f t="shared" si="5"/>
        <v>0</v>
      </c>
      <c r="D28" s="43">
        <f t="shared" si="6"/>
        <v>0</v>
      </c>
      <c r="E28" s="68">
        <f t="shared" si="7"/>
        <v>0</v>
      </c>
      <c r="F28" s="51"/>
      <c r="G28" s="4195"/>
      <c r="H28" s="22" t="s">
        <v>21</v>
      </c>
      <c r="I28" s="43">
        <f>IF($B$8=12,B28,IF($B$8=4,0,IF($B$8=6,B20,IF($B$8=3,B16,0))))</f>
        <v>0</v>
      </c>
      <c r="J28" s="43">
        <f>IF($B$8=12,C28,IF($B$8=4,0,IF($B$8=6,C20,IF($B$8=3,C16,0))))</f>
        <v>0</v>
      </c>
      <c r="K28" s="68">
        <f>IF($B$8=12,D28,IF($B$8=4,0,IF($B$8=6,D20,IF($B$8=3,D16,0))))</f>
        <v>0</v>
      </c>
      <c r="M28" s="4195"/>
      <c r="N28" s="9" t="s">
        <v>21</v>
      </c>
      <c r="O28" s="43">
        <f t="shared" si="9"/>
        <v>0</v>
      </c>
      <c r="P28" s="43">
        <f t="shared" si="10"/>
        <v>0</v>
      </c>
      <c r="Q28" s="44">
        <f t="shared" si="11"/>
        <v>0</v>
      </c>
      <c r="R28" s="68">
        <f t="shared" si="8"/>
        <v>0</v>
      </c>
      <c r="S28" s="51"/>
    </row>
    <row r="29" spans="1:19" ht="15.75" customHeight="1">
      <c r="A29" s="23">
        <v>18</v>
      </c>
      <c r="B29" s="43">
        <f t="shared" si="1"/>
        <v>0</v>
      </c>
      <c r="C29" s="123">
        <f t="shared" si="5"/>
        <v>0</v>
      </c>
      <c r="D29" s="43">
        <f t="shared" si="6"/>
        <v>0</v>
      </c>
      <c r="E29" s="68">
        <f t="shared" si="7"/>
        <v>0</v>
      </c>
      <c r="F29" s="51"/>
      <c r="G29" s="4195"/>
      <c r="H29" s="22" t="s">
        <v>22</v>
      </c>
      <c r="I29" s="43">
        <f>IF($B$8=12,B29,IF($B$8=4,0,IF($B$8=6,0,IF($B$8=3,0,0))))</f>
        <v>0</v>
      </c>
      <c r="J29" s="43">
        <f>IF($B$8=12,C29,IF($B$8=4,0,IF($B$8=6,0,IF($B$8=3,0,0))))</f>
        <v>0</v>
      </c>
      <c r="K29" s="68">
        <f>IF($B$8=12,D29,IF($B$8=4,0,IF($B$8=6,0,IF($B$8=3,0,0))))</f>
        <v>0</v>
      </c>
      <c r="M29" s="4195"/>
      <c r="N29" s="9" t="s">
        <v>22</v>
      </c>
      <c r="O29" s="43">
        <f t="shared" si="9"/>
        <v>0</v>
      </c>
      <c r="P29" s="43">
        <f t="shared" si="10"/>
        <v>0</v>
      </c>
      <c r="Q29" s="44">
        <f t="shared" si="11"/>
        <v>0</v>
      </c>
      <c r="R29" s="68">
        <f t="shared" si="8"/>
        <v>0</v>
      </c>
      <c r="S29" s="51"/>
    </row>
    <row r="30" spans="1:19" ht="15.75" customHeight="1">
      <c r="A30" s="23">
        <v>19</v>
      </c>
      <c r="B30" s="43">
        <f t="shared" si="1"/>
        <v>0</v>
      </c>
      <c r="C30" s="123">
        <f t="shared" si="5"/>
        <v>0</v>
      </c>
      <c r="D30" s="43">
        <f t="shared" si="6"/>
        <v>0</v>
      </c>
      <c r="E30" s="68">
        <f t="shared" si="7"/>
        <v>0</v>
      </c>
      <c r="F30" s="51"/>
      <c r="G30" s="4195"/>
      <c r="H30" s="22" t="s">
        <v>23</v>
      </c>
      <c r="I30" s="43">
        <f>IF($B$8=12,B30,IF($B$8=4,B18,IF($B$8=6,B21,IF($B$8=3,0,IF($B$8=2,B15,0)))))</f>
        <v>0</v>
      </c>
      <c r="J30" s="43">
        <f>IF($B$8=12,C30,IF($B$8=4,C18,IF($B$8=6,C21,IF($B$8=3,0,IF($B$8=2,C15,0)))))</f>
        <v>0</v>
      </c>
      <c r="K30" s="68">
        <f>IF($B$8=12,D30,IF($B$8=4,D18,IF($B$8=6,D21,IF($B$8=3,0,IF($B$8=2,D15,0)))))</f>
        <v>0</v>
      </c>
      <c r="M30" s="4195"/>
      <c r="N30" s="9" t="s">
        <v>23</v>
      </c>
      <c r="O30" s="43">
        <f t="shared" si="9"/>
        <v>0</v>
      </c>
      <c r="P30" s="43">
        <f t="shared" si="10"/>
        <v>0</v>
      </c>
      <c r="Q30" s="44">
        <f t="shared" si="11"/>
        <v>0</v>
      </c>
      <c r="R30" s="68">
        <f t="shared" si="8"/>
        <v>0</v>
      </c>
      <c r="S30" s="51"/>
    </row>
    <row r="31" spans="1:19" ht="15.75" customHeight="1">
      <c r="A31" s="23">
        <v>20</v>
      </c>
      <c r="B31" s="43">
        <f t="shared" si="1"/>
        <v>0</v>
      </c>
      <c r="C31" s="123">
        <f t="shared" si="5"/>
        <v>0</v>
      </c>
      <c r="D31" s="43">
        <f t="shared" si="6"/>
        <v>0</v>
      </c>
      <c r="E31" s="68">
        <f t="shared" si="7"/>
        <v>0</v>
      </c>
      <c r="F31" s="51"/>
      <c r="G31" s="4195"/>
      <c r="H31" s="22" t="s">
        <v>24</v>
      </c>
      <c r="I31" s="43">
        <f>IF($B$8=12,B31,IF($B$8=4,0,IF($B$8=6,0,IF($B$8=3,0,0))))</f>
        <v>0</v>
      </c>
      <c r="J31" s="43">
        <f>IF($B$8=12,C31,IF($B$8=4,0,IF($B$8=6,0,IF($B$8=3,0,0))))</f>
        <v>0</v>
      </c>
      <c r="K31" s="68">
        <f>IF($B$8=12,D31,IF($B$8=4,0,IF($B$8=6,0,IF($B$8=3,0,0))))</f>
        <v>0</v>
      </c>
      <c r="M31" s="4195"/>
      <c r="N31" s="9" t="s">
        <v>24</v>
      </c>
      <c r="O31" s="43">
        <f t="shared" si="9"/>
        <v>0</v>
      </c>
      <c r="P31" s="43">
        <f t="shared" si="10"/>
        <v>0</v>
      </c>
      <c r="Q31" s="44">
        <f t="shared" si="11"/>
        <v>0</v>
      </c>
      <c r="R31" s="68">
        <f t="shared" si="8"/>
        <v>0</v>
      </c>
      <c r="S31" s="51"/>
    </row>
    <row r="32" spans="1:19" ht="15.75" customHeight="1">
      <c r="A32" s="23">
        <v>21</v>
      </c>
      <c r="B32" s="43">
        <f t="shared" si="1"/>
        <v>0</v>
      </c>
      <c r="C32" s="123">
        <f t="shared" si="5"/>
        <v>0</v>
      </c>
      <c r="D32" s="43">
        <f t="shared" si="6"/>
        <v>0</v>
      </c>
      <c r="E32" s="68">
        <f t="shared" si="7"/>
        <v>0</v>
      </c>
      <c r="F32" s="51"/>
      <c r="G32" s="4195"/>
      <c r="H32" s="22" t="s">
        <v>25</v>
      </c>
      <c r="I32" s="43">
        <f>IF($B$8=12,B32,IF($B$8=4,0,IF($B$8=6,B22,IF($B$8=3,B17,0))))</f>
        <v>0</v>
      </c>
      <c r="J32" s="43">
        <f>IF($B$8=12,C32,IF($B$8=4,0,IF($B$8=6,C22,IF($B$8=3,C17,0))))</f>
        <v>0</v>
      </c>
      <c r="K32" s="68">
        <f>IF($B$8=12,D32,IF($B$8=4,0,IF($B$8=6,D22,IF($B$8=3,D17,0))))</f>
        <v>0</v>
      </c>
      <c r="M32" s="4195"/>
      <c r="N32" s="9" t="s">
        <v>25</v>
      </c>
      <c r="O32" s="43">
        <f t="shared" si="9"/>
        <v>0</v>
      </c>
      <c r="P32" s="43">
        <f t="shared" si="10"/>
        <v>0</v>
      </c>
      <c r="Q32" s="44">
        <f t="shared" si="11"/>
        <v>0</v>
      </c>
      <c r="R32" s="68">
        <f t="shared" si="8"/>
        <v>0</v>
      </c>
      <c r="S32" s="51"/>
    </row>
    <row r="33" spans="1:19" ht="15.75" customHeight="1">
      <c r="A33" s="23">
        <v>22</v>
      </c>
      <c r="B33" s="43">
        <f t="shared" si="1"/>
        <v>0</v>
      </c>
      <c r="C33" s="123">
        <f t="shared" si="5"/>
        <v>0</v>
      </c>
      <c r="D33" s="43">
        <f t="shared" si="6"/>
        <v>0</v>
      </c>
      <c r="E33" s="68">
        <f t="shared" si="7"/>
        <v>0</v>
      </c>
      <c r="F33" s="51"/>
      <c r="G33" s="4195"/>
      <c r="H33" s="22" t="s">
        <v>26</v>
      </c>
      <c r="I33" s="43">
        <f>IF($B$8=12,B33,IF($B$8=4,B19,IF($B$8=6,0,IF($B$8=3,0,0))))</f>
        <v>0</v>
      </c>
      <c r="J33" s="43">
        <f>IF($B$8=12,C33,IF($B$8=4,C19,IF($B$8=6,0,IF($B$8=3,0,0))))</f>
        <v>0</v>
      </c>
      <c r="K33" s="68">
        <f>IF($B$8=12,D33,IF($B$8=4,D19,IF($B$8=6,0,IF($B$8=3,0,0))))</f>
        <v>0</v>
      </c>
      <c r="M33" s="4195"/>
      <c r="N33" s="9" t="s">
        <v>26</v>
      </c>
      <c r="O33" s="43">
        <f t="shared" si="9"/>
        <v>0</v>
      </c>
      <c r="P33" s="43">
        <f t="shared" si="10"/>
        <v>0</v>
      </c>
      <c r="Q33" s="44">
        <f t="shared" si="11"/>
        <v>0</v>
      </c>
      <c r="R33" s="68">
        <f t="shared" si="8"/>
        <v>0</v>
      </c>
      <c r="S33" s="51"/>
    </row>
    <row r="34" spans="1:19" ht="15.75" customHeight="1">
      <c r="A34" s="23">
        <v>23</v>
      </c>
      <c r="B34" s="43">
        <f t="shared" si="1"/>
        <v>0</v>
      </c>
      <c r="C34" s="123">
        <f t="shared" si="5"/>
        <v>0</v>
      </c>
      <c r="D34" s="43">
        <f t="shared" si="6"/>
        <v>0</v>
      </c>
      <c r="E34" s="68">
        <f t="shared" si="7"/>
        <v>0</v>
      </c>
      <c r="F34" s="51"/>
      <c r="G34" s="4195"/>
      <c r="H34" s="22" t="s">
        <v>27</v>
      </c>
      <c r="I34" s="43">
        <f>IF($B$8=12,B34,IF($B$8=4,0,IF($B$8=6,B23,IF($B$8=3,0,0))))</f>
        <v>0</v>
      </c>
      <c r="J34" s="43">
        <f>IF($B$8=12,C34,IF($B$8=4,0,IF($B$8=6,C23,IF($B$8=3,0,0))))</f>
        <v>0</v>
      </c>
      <c r="K34" s="68">
        <f>IF($B$8=12,D34,IF($B$8=4,0,IF($B$8=6,D23,IF($B$8=3,0,0))))</f>
        <v>0</v>
      </c>
      <c r="M34" s="4195"/>
      <c r="N34" s="9" t="s">
        <v>27</v>
      </c>
      <c r="O34" s="43">
        <f t="shared" si="9"/>
        <v>0</v>
      </c>
      <c r="P34" s="43">
        <f t="shared" si="10"/>
        <v>0</v>
      </c>
      <c r="Q34" s="44">
        <f t="shared" si="11"/>
        <v>0</v>
      </c>
      <c r="R34" s="68">
        <f t="shared" si="8"/>
        <v>0</v>
      </c>
      <c r="S34" s="51"/>
    </row>
    <row r="35" spans="1:19" ht="15.75" customHeight="1" thickBot="1">
      <c r="A35" s="24">
        <v>24</v>
      </c>
      <c r="B35" s="70">
        <f t="shared" si="1"/>
        <v>0</v>
      </c>
      <c r="C35" s="139">
        <f t="shared" si="5"/>
        <v>0</v>
      </c>
      <c r="D35" s="70">
        <f t="shared" si="6"/>
        <v>0</v>
      </c>
      <c r="E35" s="75">
        <f t="shared" si="7"/>
        <v>0</v>
      </c>
      <c r="F35" s="243">
        <f>SUM(D24:D35)</f>
        <v>0</v>
      </c>
      <c r="G35" s="4196"/>
      <c r="H35" s="25" t="s">
        <v>28</v>
      </c>
      <c r="I35" s="70">
        <f>IF($B$8=12,B35,IF($B$8=4,0,IF($B$8=6,0,IF($B$8=3,0,0))))</f>
        <v>0</v>
      </c>
      <c r="J35" s="70">
        <f>IF($B$8=12,C35,IF($B$8=4,0,IF($B$8=6,0,IF($B$8=3,0,0))))</f>
        <v>0</v>
      </c>
      <c r="K35" s="72">
        <f>IF($B$8=12,D35,IF($B$8=4,0,IF($B$8=6,0,IF($B$8=3,0,0))))</f>
        <v>0</v>
      </c>
      <c r="M35" s="4196"/>
      <c r="N35" s="35" t="s">
        <v>28</v>
      </c>
      <c r="O35" s="43">
        <f t="shared" si="9"/>
        <v>0</v>
      </c>
      <c r="P35" s="43">
        <f t="shared" si="10"/>
        <v>0</v>
      </c>
      <c r="Q35" s="46">
        <f t="shared" si="11"/>
        <v>0</v>
      </c>
      <c r="R35" s="75">
        <f t="shared" si="8"/>
        <v>0</v>
      </c>
      <c r="S35" s="1100">
        <f>SUM(Q24:Q35)</f>
        <v>0</v>
      </c>
    </row>
    <row r="36" spans="1:19" ht="15.75" customHeight="1">
      <c r="A36" s="23">
        <v>25</v>
      </c>
      <c r="B36" s="43">
        <f t="shared" si="1"/>
        <v>0</v>
      </c>
      <c r="C36" s="123">
        <f t="shared" si="5"/>
        <v>0</v>
      </c>
      <c r="D36" s="43">
        <f t="shared" si="6"/>
        <v>0</v>
      </c>
      <c r="E36" s="68">
        <f t="shared" si="7"/>
        <v>0</v>
      </c>
      <c r="F36" s="51"/>
      <c r="G36" s="4194">
        <f>G24+1</f>
        <v>2</v>
      </c>
      <c r="H36" s="22" t="s">
        <v>17</v>
      </c>
      <c r="I36" s="43">
        <f>IF($B$8=12,B36,IF($B$8=4,B20,IF($B$8=6,B24,IF($B$8=3,B18,IF($B$8=2,B16,IF($B$8=1,B14,0))))))</f>
        <v>0</v>
      </c>
      <c r="J36" s="43">
        <f>IF($B$8=12,C36,IF($B$8=4,C20,IF($B$8=6,C24,IF($B$8=3,C18,IF($B$8=2,C16,IF($B$8=1,C14,0))))))</f>
        <v>0</v>
      </c>
      <c r="K36" s="68">
        <f>IF($B$8=12,D36,IF($B$8=4,D20,IF($B$8=6,D24,IF($B$8=3,D18,IF($B$8=2,D16,IF($B$8=1,D14,0))))))</f>
        <v>0</v>
      </c>
      <c r="M36" s="4194">
        <f>M12+2</f>
        <v>2</v>
      </c>
      <c r="N36" s="9" t="s">
        <v>17</v>
      </c>
      <c r="O36" s="76">
        <f t="shared" ref="O36:O47" si="12">IF($I$6=3,I12,IF($I$6=2,I24,IF($I$6=1,I36,0)))</f>
        <v>0</v>
      </c>
      <c r="P36" s="76">
        <f t="shared" ref="P36:P47" si="13">IF($I$6=3,J12,IF($I$6=2,J24,IF($I$6=1,J36,0)))</f>
        <v>0</v>
      </c>
      <c r="Q36" s="77">
        <f t="shared" ref="Q36:Q47" si="14">IF($I$6=3,K12,IF($I$6=2,K24,IF($I$6=1,K36,0)))</f>
        <v>0</v>
      </c>
      <c r="R36" s="68">
        <f t="shared" si="8"/>
        <v>0</v>
      </c>
      <c r="S36" s="51"/>
    </row>
    <row r="37" spans="1:19" ht="15.75" customHeight="1">
      <c r="A37" s="23">
        <v>26</v>
      </c>
      <c r="B37" s="43">
        <f t="shared" si="1"/>
        <v>0</v>
      </c>
      <c r="C37" s="123">
        <f t="shared" si="5"/>
        <v>0</v>
      </c>
      <c r="D37" s="43">
        <f t="shared" si="6"/>
        <v>0</v>
      </c>
      <c r="E37" s="68">
        <f t="shared" si="7"/>
        <v>0</v>
      </c>
      <c r="F37" s="51"/>
      <c r="G37" s="4195"/>
      <c r="H37" s="22" t="s">
        <v>18</v>
      </c>
      <c r="I37" s="43">
        <f>IF($B$8=12,B37,0)</f>
        <v>0</v>
      </c>
      <c r="J37" s="43">
        <f>IF($B$8=12,C37,0)</f>
        <v>0</v>
      </c>
      <c r="K37" s="68">
        <f>IF($B$8=12,D37,0)</f>
        <v>0</v>
      </c>
      <c r="M37" s="4195"/>
      <c r="N37" s="9" t="s">
        <v>18</v>
      </c>
      <c r="O37" s="43">
        <f t="shared" si="12"/>
        <v>0</v>
      </c>
      <c r="P37" s="43">
        <f t="shared" si="13"/>
        <v>0</v>
      </c>
      <c r="Q37" s="44">
        <f t="shared" si="14"/>
        <v>0</v>
      </c>
      <c r="R37" s="68">
        <f t="shared" si="8"/>
        <v>0</v>
      </c>
      <c r="S37" s="51"/>
    </row>
    <row r="38" spans="1:19" ht="15.75" customHeight="1">
      <c r="A38" s="23">
        <v>27</v>
      </c>
      <c r="B38" s="43">
        <f t="shared" si="1"/>
        <v>0</v>
      </c>
      <c r="C38" s="123">
        <f t="shared" si="5"/>
        <v>0</v>
      </c>
      <c r="D38" s="43">
        <f t="shared" si="6"/>
        <v>0</v>
      </c>
      <c r="E38" s="68">
        <f t="shared" si="7"/>
        <v>0</v>
      </c>
      <c r="F38" s="51"/>
      <c r="G38" s="4195"/>
      <c r="H38" s="22" t="s">
        <v>19</v>
      </c>
      <c r="I38" s="43">
        <f>IF($B$8=12,B38,IF($B$8=6,B25,0))</f>
        <v>0</v>
      </c>
      <c r="J38" s="43">
        <f>IF($B$8=12,C38,IF($B$8=6,C25,0))</f>
        <v>0</v>
      </c>
      <c r="K38" s="68">
        <f>IF($B$8=12,D38,IF($B$8=6,D25,0))</f>
        <v>0</v>
      </c>
      <c r="M38" s="4195"/>
      <c r="N38" s="9" t="s">
        <v>19</v>
      </c>
      <c r="O38" s="43">
        <f t="shared" si="12"/>
        <v>0</v>
      </c>
      <c r="P38" s="43">
        <f t="shared" si="13"/>
        <v>0</v>
      </c>
      <c r="Q38" s="44">
        <f t="shared" si="14"/>
        <v>0</v>
      </c>
      <c r="R38" s="68">
        <f t="shared" si="8"/>
        <v>0</v>
      </c>
      <c r="S38" s="51"/>
    </row>
    <row r="39" spans="1:19" ht="15.75" customHeight="1">
      <c r="A39" s="23">
        <v>28</v>
      </c>
      <c r="B39" s="43">
        <f t="shared" si="1"/>
        <v>0</v>
      </c>
      <c r="C39" s="123">
        <f t="shared" si="5"/>
        <v>0</v>
      </c>
      <c r="D39" s="43">
        <f t="shared" si="6"/>
        <v>0</v>
      </c>
      <c r="E39" s="68">
        <f t="shared" si="7"/>
        <v>0</v>
      </c>
      <c r="F39" s="51"/>
      <c r="G39" s="4195"/>
      <c r="H39" s="22" t="s">
        <v>20</v>
      </c>
      <c r="I39" s="43">
        <f>IF($B$8=12,B39,IF($B$8=4,B21,IF($B$8=6,0,IF($B$8=3,0,0))))</f>
        <v>0</v>
      </c>
      <c r="J39" s="43">
        <f>IF($B$8=12,C39,IF($B$8=4,C21,IF($B$8=6,0,IF($B$8=3,0,0))))</f>
        <v>0</v>
      </c>
      <c r="K39" s="68">
        <f>IF($B$8=12,D39,IF($B$8=4,D21,IF($B$8=6,0,IF($B$8=3,0,0))))</f>
        <v>0</v>
      </c>
      <c r="M39" s="4195"/>
      <c r="N39" s="9" t="s">
        <v>20</v>
      </c>
      <c r="O39" s="43">
        <f t="shared" si="12"/>
        <v>0</v>
      </c>
      <c r="P39" s="43">
        <f t="shared" si="13"/>
        <v>0</v>
      </c>
      <c r="Q39" s="44">
        <f t="shared" si="14"/>
        <v>0</v>
      </c>
      <c r="R39" s="68">
        <f t="shared" si="8"/>
        <v>0</v>
      </c>
      <c r="S39" s="51"/>
    </row>
    <row r="40" spans="1:19" ht="15.75" customHeight="1">
      <c r="A40" s="23">
        <v>29</v>
      </c>
      <c r="B40" s="43">
        <f t="shared" si="1"/>
        <v>0</v>
      </c>
      <c r="C40" s="123">
        <f t="shared" si="5"/>
        <v>0</v>
      </c>
      <c r="D40" s="43">
        <f t="shared" si="6"/>
        <v>0</v>
      </c>
      <c r="E40" s="68">
        <f t="shared" si="7"/>
        <v>0</v>
      </c>
      <c r="F40" s="51"/>
      <c r="G40" s="4195"/>
      <c r="H40" s="22" t="s">
        <v>21</v>
      </c>
      <c r="I40" s="43">
        <f>IF($B$8=12,B40,IF($B$8=4,0,IF($B$8=6,B26,IF($B$8=3,B19,0))))</f>
        <v>0</v>
      </c>
      <c r="J40" s="43">
        <f>IF($B$8=12,C40,IF($B$8=4,0,IF($B$8=6,C26,IF($B$8=3,C19,0))))</f>
        <v>0</v>
      </c>
      <c r="K40" s="68">
        <f>IF($B$8=12,D40,IF($B$8=4,0,IF($B$8=6,D26,IF($B$8=3,D19,0))))</f>
        <v>0</v>
      </c>
      <c r="M40" s="4195"/>
      <c r="N40" s="9" t="s">
        <v>21</v>
      </c>
      <c r="O40" s="43">
        <f t="shared" si="12"/>
        <v>0</v>
      </c>
      <c r="P40" s="43">
        <f t="shared" si="13"/>
        <v>0</v>
      </c>
      <c r="Q40" s="44">
        <f t="shared" si="14"/>
        <v>0</v>
      </c>
      <c r="R40" s="68">
        <f t="shared" si="8"/>
        <v>0</v>
      </c>
      <c r="S40" s="51"/>
    </row>
    <row r="41" spans="1:19" ht="15.75" customHeight="1">
      <c r="A41" s="23">
        <v>30</v>
      </c>
      <c r="B41" s="43">
        <f t="shared" si="1"/>
        <v>0</v>
      </c>
      <c r="C41" s="123">
        <f t="shared" si="5"/>
        <v>0</v>
      </c>
      <c r="D41" s="43">
        <f t="shared" si="6"/>
        <v>0</v>
      </c>
      <c r="E41" s="68">
        <f t="shared" si="7"/>
        <v>0</v>
      </c>
      <c r="F41" s="51"/>
      <c r="G41" s="4195"/>
      <c r="H41" s="22" t="s">
        <v>22</v>
      </c>
      <c r="I41" s="43">
        <f>IF($B$8=12,B41,IF($B$8=4,0,IF($B$8=6,0,IF($B$8=3,0,0))))</f>
        <v>0</v>
      </c>
      <c r="J41" s="43">
        <f>IF($B$8=12,C41,IF($B$8=4,0,IF($B$8=6,0,IF($B$8=3,0,0))))</f>
        <v>0</v>
      </c>
      <c r="K41" s="68">
        <f>IF($B$8=12,D41,IF($B$8=4,0,IF($B$8=6,0,IF($B$8=3,0,0))))</f>
        <v>0</v>
      </c>
      <c r="M41" s="4195"/>
      <c r="N41" s="9" t="s">
        <v>22</v>
      </c>
      <c r="O41" s="43">
        <f t="shared" si="12"/>
        <v>0</v>
      </c>
      <c r="P41" s="43">
        <f t="shared" si="13"/>
        <v>0</v>
      </c>
      <c r="Q41" s="44">
        <f t="shared" si="14"/>
        <v>0</v>
      </c>
      <c r="R41" s="68">
        <f t="shared" si="8"/>
        <v>0</v>
      </c>
      <c r="S41" s="51"/>
    </row>
    <row r="42" spans="1:19" ht="15.75" customHeight="1">
      <c r="A42" s="23">
        <v>31</v>
      </c>
      <c r="B42" s="43">
        <f t="shared" si="1"/>
        <v>0</v>
      </c>
      <c r="C42" s="123">
        <f t="shared" si="5"/>
        <v>0</v>
      </c>
      <c r="D42" s="43">
        <f t="shared" si="6"/>
        <v>0</v>
      </c>
      <c r="E42" s="68">
        <f t="shared" si="7"/>
        <v>0</v>
      </c>
      <c r="F42" s="51"/>
      <c r="G42" s="4195"/>
      <c r="H42" s="22" t="s">
        <v>23</v>
      </c>
      <c r="I42" s="43">
        <f>IF($B$8=12,B42,IF($B$8=4,B22,IF($B$8=6,B27,IF($B$8=3,0,IF($B$8=2,B17,0)))))</f>
        <v>0</v>
      </c>
      <c r="J42" s="43">
        <f>IF($B$8=12,C42,IF($B$8=4,C22,IF($B$8=6,C27,IF($B$8=3,0,IF($B$8=2,C17,0)))))</f>
        <v>0</v>
      </c>
      <c r="K42" s="68">
        <f>IF($B$8=12,D42,IF($B$8=4,D22,IF($B$8=6,D27,IF($B$8=3,0,IF($B$8=2,D17,0)))))</f>
        <v>0</v>
      </c>
      <c r="M42" s="4195"/>
      <c r="N42" s="9" t="s">
        <v>23</v>
      </c>
      <c r="O42" s="43">
        <f t="shared" si="12"/>
        <v>0</v>
      </c>
      <c r="P42" s="43">
        <f t="shared" si="13"/>
        <v>0</v>
      </c>
      <c r="Q42" s="44">
        <f t="shared" si="14"/>
        <v>0</v>
      </c>
      <c r="R42" s="68">
        <f t="shared" si="8"/>
        <v>0</v>
      </c>
      <c r="S42" s="51"/>
    </row>
    <row r="43" spans="1:19" ht="15.75" customHeight="1">
      <c r="A43" s="23">
        <v>32</v>
      </c>
      <c r="B43" s="43">
        <f t="shared" si="1"/>
        <v>0</v>
      </c>
      <c r="C43" s="123">
        <f t="shared" si="5"/>
        <v>0</v>
      </c>
      <c r="D43" s="43">
        <f t="shared" si="6"/>
        <v>0</v>
      </c>
      <c r="E43" s="68">
        <f t="shared" si="7"/>
        <v>0</v>
      </c>
      <c r="F43" s="51"/>
      <c r="G43" s="4195"/>
      <c r="H43" s="22" t="s">
        <v>24</v>
      </c>
      <c r="I43" s="43">
        <f>IF($B$8=12,B43,IF($B$8=4,0,IF($B$8=6,0,IF($B$8=3,0,0))))</f>
        <v>0</v>
      </c>
      <c r="J43" s="43">
        <f>IF($B$8=12,C43,IF($B$8=4,0,IF($B$8=6,0,IF($B$8=3,0,0))))</f>
        <v>0</v>
      </c>
      <c r="K43" s="68">
        <f>IF($B$8=12,D43,IF($B$8=4,0,IF($B$8=6,0,IF($B$8=3,0,0))))</f>
        <v>0</v>
      </c>
      <c r="M43" s="4195"/>
      <c r="N43" s="9" t="s">
        <v>24</v>
      </c>
      <c r="O43" s="43">
        <f t="shared" si="12"/>
        <v>0</v>
      </c>
      <c r="P43" s="43">
        <f t="shared" si="13"/>
        <v>0</v>
      </c>
      <c r="Q43" s="44">
        <f t="shared" si="14"/>
        <v>0</v>
      </c>
      <c r="R43" s="68">
        <f t="shared" si="8"/>
        <v>0</v>
      </c>
      <c r="S43" s="51"/>
    </row>
    <row r="44" spans="1:19" ht="15.75" customHeight="1">
      <c r="A44" s="23">
        <v>33</v>
      </c>
      <c r="B44" s="43">
        <f t="shared" ref="B44:B71" si="15">IF(A44&gt;$I$9,IF(E43&gt;1,PMT($B$6/$B$8,$B$7*$B$8,-$B$5),0),0)</f>
        <v>0</v>
      </c>
      <c r="C44" s="123">
        <f t="shared" si="5"/>
        <v>0</v>
      </c>
      <c r="D44" s="43">
        <f t="shared" si="6"/>
        <v>0</v>
      </c>
      <c r="E44" s="68">
        <f t="shared" si="7"/>
        <v>0</v>
      </c>
      <c r="F44" s="51"/>
      <c r="G44" s="4195"/>
      <c r="H44" s="22" t="s">
        <v>25</v>
      </c>
      <c r="I44" s="43">
        <f>IF($B$8=12,B44,IF($B$8=4,0,IF($B$8=6,B28,IF($B$8=3,B20,0))))</f>
        <v>0</v>
      </c>
      <c r="J44" s="43">
        <f>IF($B$8=12,C44,IF($B$8=4,0,IF($B$8=6,C28,IF($B$8=3,C20,0))))</f>
        <v>0</v>
      </c>
      <c r="K44" s="68">
        <f>IF($B$8=12,D44,IF($B$8=4,0,IF($B$8=6,D28,IF($B$8=3,D20,0))))</f>
        <v>0</v>
      </c>
      <c r="M44" s="4195"/>
      <c r="N44" s="9" t="s">
        <v>25</v>
      </c>
      <c r="O44" s="43">
        <f t="shared" si="12"/>
        <v>0</v>
      </c>
      <c r="P44" s="43">
        <f t="shared" si="13"/>
        <v>0</v>
      </c>
      <c r="Q44" s="44">
        <f t="shared" si="14"/>
        <v>0</v>
      </c>
      <c r="R44" s="68">
        <f t="shared" si="8"/>
        <v>0</v>
      </c>
      <c r="S44" s="51"/>
    </row>
    <row r="45" spans="1:19" ht="15.75" customHeight="1">
      <c r="A45" s="23">
        <v>34</v>
      </c>
      <c r="B45" s="43">
        <f t="shared" si="15"/>
        <v>0</v>
      </c>
      <c r="C45" s="123">
        <f t="shared" si="5"/>
        <v>0</v>
      </c>
      <c r="D45" s="43">
        <f t="shared" ref="D45:D71" si="16">IF(A45&gt;$I$9,B45-(E44*($B$6/$B$8)),0)</f>
        <v>0</v>
      </c>
      <c r="E45" s="68">
        <f t="shared" ref="E45:E71" si="17">IF((E44-D45)&gt;0,E44-D45,0)</f>
        <v>0</v>
      </c>
      <c r="F45" s="51"/>
      <c r="G45" s="4195"/>
      <c r="H45" s="22" t="s">
        <v>26</v>
      </c>
      <c r="I45" s="43">
        <f>IF($B$8=12,B45,IF($B$8=4,B23,IF($B$8=6,0,IF($B$8=3,0,0))))</f>
        <v>0</v>
      </c>
      <c r="J45" s="43">
        <f>IF($B$8=12,C45,IF($B$8=4,C23,IF($B$8=6,0,IF($B$8=3,0,0))))</f>
        <v>0</v>
      </c>
      <c r="K45" s="68">
        <f>IF($B$8=12,D45,IF($B$8=4,D23,IF($B$8=6,0,IF($B$8=3,0,0))))</f>
        <v>0</v>
      </c>
      <c r="M45" s="4195"/>
      <c r="N45" s="9" t="s">
        <v>26</v>
      </c>
      <c r="O45" s="43">
        <f t="shared" si="12"/>
        <v>0</v>
      </c>
      <c r="P45" s="43">
        <f t="shared" si="13"/>
        <v>0</v>
      </c>
      <c r="Q45" s="44">
        <f t="shared" si="14"/>
        <v>0</v>
      </c>
      <c r="R45" s="68">
        <f t="shared" si="8"/>
        <v>0</v>
      </c>
      <c r="S45" s="51"/>
    </row>
    <row r="46" spans="1:19" ht="15.75" customHeight="1">
      <c r="A46" s="23">
        <v>35</v>
      </c>
      <c r="B46" s="43">
        <f t="shared" si="15"/>
        <v>0</v>
      </c>
      <c r="C46" s="123">
        <f t="shared" si="5"/>
        <v>0</v>
      </c>
      <c r="D46" s="43">
        <f t="shared" si="16"/>
        <v>0</v>
      </c>
      <c r="E46" s="68">
        <f t="shared" si="17"/>
        <v>0</v>
      </c>
      <c r="F46" s="51"/>
      <c r="G46" s="4195"/>
      <c r="H46" s="22" t="s">
        <v>27</v>
      </c>
      <c r="I46" s="43">
        <f>IF($B$8=12,B46,IF($B$8=4,0,IF($B$8=6,B29,IF($B$8=3,0,0))))</f>
        <v>0</v>
      </c>
      <c r="J46" s="43">
        <f>IF($B$8=12,C46,IF($B$8=4,0,IF($B$8=6,C29,IF($B$8=3,0,0))))</f>
        <v>0</v>
      </c>
      <c r="K46" s="68">
        <f>IF($B$8=12,D46,IF($B$8=4,0,IF($B$8=6,D29,IF($B$8=3,0,0))))</f>
        <v>0</v>
      </c>
      <c r="M46" s="4195"/>
      <c r="N46" s="9" t="s">
        <v>27</v>
      </c>
      <c r="O46" s="43">
        <f t="shared" si="12"/>
        <v>0</v>
      </c>
      <c r="P46" s="43">
        <f t="shared" si="13"/>
        <v>0</v>
      </c>
      <c r="Q46" s="44">
        <f t="shared" si="14"/>
        <v>0</v>
      </c>
      <c r="R46" s="68">
        <f t="shared" si="8"/>
        <v>0</v>
      </c>
      <c r="S46" s="51"/>
    </row>
    <row r="47" spans="1:19" ht="15.75" customHeight="1" thickBot="1">
      <c r="A47" s="24">
        <v>36</v>
      </c>
      <c r="B47" s="70">
        <f t="shared" si="15"/>
        <v>0</v>
      </c>
      <c r="C47" s="139">
        <f t="shared" si="5"/>
        <v>0</v>
      </c>
      <c r="D47" s="70">
        <f t="shared" si="16"/>
        <v>0</v>
      </c>
      <c r="E47" s="75">
        <f t="shared" si="17"/>
        <v>0</v>
      </c>
      <c r="F47" s="243">
        <f>SUM(D36:D47)</f>
        <v>0</v>
      </c>
      <c r="G47" s="4196"/>
      <c r="H47" s="25" t="s">
        <v>28</v>
      </c>
      <c r="I47" s="70">
        <f>IF($B$8=12,B47,IF($B$8=4,0,IF($B$8=6,0,IF($B$8=3,0,0))))</f>
        <v>0</v>
      </c>
      <c r="J47" s="70">
        <f>IF($B$8=12,C47,IF($B$8=4,0,IF($B$8=6,0,IF($B$8=3,0,0))))</f>
        <v>0</v>
      </c>
      <c r="K47" s="72">
        <f>IF($B$8=12,D47,IF($B$8=4,0,IF($B$8=6,0,IF($B$8=3,0,0))))</f>
        <v>0</v>
      </c>
      <c r="M47" s="4196"/>
      <c r="N47" s="35" t="s">
        <v>28</v>
      </c>
      <c r="O47" s="45">
        <f t="shared" si="12"/>
        <v>0</v>
      </c>
      <c r="P47" s="45">
        <f t="shared" si="13"/>
        <v>0</v>
      </c>
      <c r="Q47" s="46">
        <f t="shared" si="14"/>
        <v>0</v>
      </c>
      <c r="R47" s="75">
        <f t="shared" si="8"/>
        <v>0</v>
      </c>
      <c r="S47" s="1100">
        <f>SUM(Q36:Q47)</f>
        <v>0</v>
      </c>
    </row>
    <row r="48" spans="1:19" ht="15.75" customHeight="1">
      <c r="A48" s="23">
        <v>37</v>
      </c>
      <c r="B48" s="43">
        <f t="shared" si="15"/>
        <v>0</v>
      </c>
      <c r="C48" s="123">
        <f t="shared" si="5"/>
        <v>0</v>
      </c>
      <c r="D48" s="43">
        <f t="shared" si="16"/>
        <v>0</v>
      </c>
      <c r="E48" s="68">
        <f t="shared" si="17"/>
        <v>0</v>
      </c>
      <c r="F48" s="51"/>
      <c r="G48" s="4194">
        <f>G36+1</f>
        <v>3</v>
      </c>
      <c r="H48" s="22" t="s">
        <v>17</v>
      </c>
      <c r="I48" s="43">
        <f>IF($B$8=12,B48,IF($B$8=4,B24,IF($B$8=6,B30,IF($B$8=3,B21,IF($B$8=2,B18,IF($B$8=1,B15,0))))))</f>
        <v>0</v>
      </c>
      <c r="J48" s="43">
        <f>IF($B$8=12,C48,IF($B$8=4,C24,IF($B$8=6,C30,IF($B$8=3,C21,IF($B$8=2,C18,IF($B$8=1,C15,0))))))</f>
        <v>0</v>
      </c>
      <c r="K48" s="68">
        <f>IF($B$8=12,D48,IF($B$8=4,D24,IF($B$8=6,D30,IF($B$8=3,D21,IF($B$8=2,D18,IF($B$8=1,D15,0))))))</f>
        <v>0</v>
      </c>
      <c r="M48" s="4194">
        <f>M12+3</f>
        <v>3</v>
      </c>
      <c r="N48" s="9" t="s">
        <v>17</v>
      </c>
      <c r="O48" s="76">
        <f t="shared" ref="O48:O59" si="18">IF($I$6=4,I12,IF($I$6=3,I24,IF($I$6=2,I36,IF($I$6=1,I48,0))))</f>
        <v>0</v>
      </c>
      <c r="P48" s="76">
        <f t="shared" ref="P48:P59" si="19">IF($I$6=4,J12,IF($I$6=3,J24,IF($I$6=2,J36,IF($I$6=1,J48,0))))</f>
        <v>0</v>
      </c>
      <c r="Q48" s="77">
        <f t="shared" ref="Q48:Q59" si="20">IF($I$6=4,K12,IF($I$6=3,K24,IF($I$6=2,K36,IF($I$6=1,K48,0))))</f>
        <v>0</v>
      </c>
      <c r="R48" s="68">
        <f t="shared" si="8"/>
        <v>0</v>
      </c>
      <c r="S48" s="51"/>
    </row>
    <row r="49" spans="1:19" ht="15.75" customHeight="1">
      <c r="A49" s="23">
        <v>38</v>
      </c>
      <c r="B49" s="43">
        <f t="shared" si="15"/>
        <v>0</v>
      </c>
      <c r="C49" s="123">
        <f t="shared" si="5"/>
        <v>0</v>
      </c>
      <c r="D49" s="43">
        <f t="shared" si="16"/>
        <v>0</v>
      </c>
      <c r="E49" s="68">
        <f t="shared" si="17"/>
        <v>0</v>
      </c>
      <c r="F49" s="51"/>
      <c r="G49" s="4195"/>
      <c r="H49" s="22" t="s">
        <v>18</v>
      </c>
      <c r="I49" s="43">
        <f>IF($B$8=12,B49,0)</f>
        <v>0</v>
      </c>
      <c r="J49" s="43">
        <f>IF($B$8=12,C49,0)</f>
        <v>0</v>
      </c>
      <c r="K49" s="68">
        <f>IF($B$8=12,D49,0)</f>
        <v>0</v>
      </c>
      <c r="M49" s="4195"/>
      <c r="N49" s="9" t="s">
        <v>18</v>
      </c>
      <c r="O49" s="43">
        <f t="shared" si="18"/>
        <v>0</v>
      </c>
      <c r="P49" s="43">
        <f t="shared" si="19"/>
        <v>0</v>
      </c>
      <c r="Q49" s="44">
        <f t="shared" si="20"/>
        <v>0</v>
      </c>
      <c r="R49" s="68">
        <f t="shared" si="8"/>
        <v>0</v>
      </c>
      <c r="S49" s="51"/>
    </row>
    <row r="50" spans="1:19" ht="15.75" customHeight="1">
      <c r="A50" s="23">
        <v>39</v>
      </c>
      <c r="B50" s="43">
        <f t="shared" si="15"/>
        <v>0</v>
      </c>
      <c r="C50" s="123">
        <f t="shared" si="5"/>
        <v>0</v>
      </c>
      <c r="D50" s="43">
        <f t="shared" si="16"/>
        <v>0</v>
      </c>
      <c r="E50" s="68">
        <f t="shared" si="17"/>
        <v>0</v>
      </c>
      <c r="F50" s="51"/>
      <c r="G50" s="4195"/>
      <c r="H50" s="22" t="s">
        <v>19</v>
      </c>
      <c r="I50" s="43">
        <f>IF($B$8=12,B50,IF($B$8=6,B31,0))</f>
        <v>0</v>
      </c>
      <c r="J50" s="43">
        <f>IF($B$8=12,C50,IF($B$8=6,C31,0))</f>
        <v>0</v>
      </c>
      <c r="K50" s="68">
        <f>IF($B$8=12,D50,IF($B$8=6,D31,0))</f>
        <v>0</v>
      </c>
      <c r="M50" s="4195"/>
      <c r="N50" s="9" t="s">
        <v>19</v>
      </c>
      <c r="O50" s="43">
        <f t="shared" si="18"/>
        <v>0</v>
      </c>
      <c r="P50" s="43">
        <f t="shared" si="19"/>
        <v>0</v>
      </c>
      <c r="Q50" s="44">
        <f t="shared" si="20"/>
        <v>0</v>
      </c>
      <c r="R50" s="68">
        <f t="shared" si="8"/>
        <v>0</v>
      </c>
      <c r="S50" s="51"/>
    </row>
    <row r="51" spans="1:19" ht="15.75" customHeight="1">
      <c r="A51" s="23">
        <v>40</v>
      </c>
      <c r="B51" s="43">
        <f t="shared" si="15"/>
        <v>0</v>
      </c>
      <c r="C51" s="123">
        <f t="shared" si="5"/>
        <v>0</v>
      </c>
      <c r="D51" s="43">
        <f t="shared" si="16"/>
        <v>0</v>
      </c>
      <c r="E51" s="68">
        <f t="shared" si="17"/>
        <v>0</v>
      </c>
      <c r="F51" s="51"/>
      <c r="G51" s="4195"/>
      <c r="H51" s="22" t="s">
        <v>20</v>
      </c>
      <c r="I51" s="43">
        <f>IF($B$8=12,B51,IF($B$8=4,B25,IF($B$8=6,0,IF($B$8=3,0,0))))</f>
        <v>0</v>
      </c>
      <c r="J51" s="43">
        <f>IF($B$8=12,C51,IF($B$8=4,C25,IF($B$8=6,0,IF($B$8=3,0,0))))</f>
        <v>0</v>
      </c>
      <c r="K51" s="68">
        <f>IF($B$8=12,D51,IF($B$8=4,D25,IF($B$8=6,0,IF($B$8=3,0,0))))</f>
        <v>0</v>
      </c>
      <c r="M51" s="4195"/>
      <c r="N51" s="9" t="s">
        <v>20</v>
      </c>
      <c r="O51" s="43">
        <f t="shared" si="18"/>
        <v>0</v>
      </c>
      <c r="P51" s="43">
        <f t="shared" si="19"/>
        <v>0</v>
      </c>
      <c r="Q51" s="44">
        <f t="shared" si="20"/>
        <v>0</v>
      </c>
      <c r="R51" s="68">
        <f t="shared" si="8"/>
        <v>0</v>
      </c>
      <c r="S51" s="51"/>
    </row>
    <row r="52" spans="1:19" ht="15.75" customHeight="1">
      <c r="A52" s="23">
        <v>41</v>
      </c>
      <c r="B52" s="43">
        <f t="shared" si="15"/>
        <v>0</v>
      </c>
      <c r="C52" s="123">
        <f t="shared" si="5"/>
        <v>0</v>
      </c>
      <c r="D52" s="43">
        <f t="shared" si="16"/>
        <v>0</v>
      </c>
      <c r="E52" s="68">
        <f t="shared" si="17"/>
        <v>0</v>
      </c>
      <c r="F52" s="51"/>
      <c r="G52" s="4195"/>
      <c r="H52" s="22" t="s">
        <v>21</v>
      </c>
      <c r="I52" s="43">
        <f>IF($B$8=12,B52,IF($B$8=4,0,IF($B$8=6,B32,IF($B$8=3,B22,0))))</f>
        <v>0</v>
      </c>
      <c r="J52" s="43">
        <f>IF($B$8=12,C52,IF($B$8=4,0,IF($B$8=6,C32,IF($B$8=3,C22,0))))</f>
        <v>0</v>
      </c>
      <c r="K52" s="68">
        <f>IF($B$8=12,D52,IF($B$8=4,0,IF($B$8=6,D32,IF($B$8=3,D22,0))))</f>
        <v>0</v>
      </c>
      <c r="M52" s="4195"/>
      <c r="N52" s="9" t="s">
        <v>21</v>
      </c>
      <c r="O52" s="43">
        <f t="shared" si="18"/>
        <v>0</v>
      </c>
      <c r="P52" s="43">
        <f t="shared" si="19"/>
        <v>0</v>
      </c>
      <c r="Q52" s="44">
        <f t="shared" si="20"/>
        <v>0</v>
      </c>
      <c r="R52" s="68">
        <f t="shared" si="8"/>
        <v>0</v>
      </c>
      <c r="S52" s="51"/>
    </row>
    <row r="53" spans="1:19" ht="15.75" customHeight="1">
      <c r="A53" s="23">
        <v>42</v>
      </c>
      <c r="B53" s="43">
        <f t="shared" si="15"/>
        <v>0</v>
      </c>
      <c r="C53" s="123">
        <f t="shared" si="5"/>
        <v>0</v>
      </c>
      <c r="D53" s="43">
        <f t="shared" si="16"/>
        <v>0</v>
      </c>
      <c r="E53" s="68">
        <f t="shared" si="17"/>
        <v>0</v>
      </c>
      <c r="F53" s="51"/>
      <c r="G53" s="4195"/>
      <c r="H53" s="22" t="s">
        <v>22</v>
      </c>
      <c r="I53" s="43">
        <f>IF($B$8=12,B53,IF($B$8=4,0,IF($B$8=6,0,IF($B$8=3,0,0))))</f>
        <v>0</v>
      </c>
      <c r="J53" s="43">
        <f>IF($B$8=12,C53,IF($B$8=4,0,IF($B$8=6,0,IF($B$8=3,0,0))))</f>
        <v>0</v>
      </c>
      <c r="K53" s="68">
        <f>IF($B$8=12,D53,IF($B$8=4,0,IF($B$8=6,0,IF($B$8=3,0,0))))</f>
        <v>0</v>
      </c>
      <c r="M53" s="4195"/>
      <c r="N53" s="9" t="s">
        <v>22</v>
      </c>
      <c r="O53" s="43">
        <f t="shared" si="18"/>
        <v>0</v>
      </c>
      <c r="P53" s="43">
        <f t="shared" si="19"/>
        <v>0</v>
      </c>
      <c r="Q53" s="44">
        <f t="shared" si="20"/>
        <v>0</v>
      </c>
      <c r="R53" s="68">
        <f t="shared" si="8"/>
        <v>0</v>
      </c>
      <c r="S53" s="51"/>
    </row>
    <row r="54" spans="1:19" ht="15.75" customHeight="1">
      <c r="A54" s="23">
        <v>43</v>
      </c>
      <c r="B54" s="43">
        <f t="shared" si="15"/>
        <v>0</v>
      </c>
      <c r="C54" s="123">
        <f t="shared" si="5"/>
        <v>0</v>
      </c>
      <c r="D54" s="43">
        <f t="shared" si="16"/>
        <v>0</v>
      </c>
      <c r="E54" s="68">
        <f t="shared" si="17"/>
        <v>0</v>
      </c>
      <c r="F54" s="51"/>
      <c r="G54" s="4195"/>
      <c r="H54" s="22" t="s">
        <v>23</v>
      </c>
      <c r="I54" s="43">
        <f>IF($B$8=12,B54,IF($B$8=4,B26,IF($B$8=6,B33,IF($B$8=3,0,IF($B$8=2,B19,0)))))</f>
        <v>0</v>
      </c>
      <c r="J54" s="43">
        <f>IF($B$8=12,C54,IF($B$8=4,C26,IF($B$8=6,C33,IF($B$8=3,0,IF($B$8=2,C19,0)))))</f>
        <v>0</v>
      </c>
      <c r="K54" s="68">
        <f>IF($B$8=12,D54,IF($B$8=4,D26,IF($B$8=6,D33,IF($B$8=3,0,IF($B$8=2,D19,0)))))</f>
        <v>0</v>
      </c>
      <c r="M54" s="4195"/>
      <c r="N54" s="9" t="s">
        <v>23</v>
      </c>
      <c r="O54" s="43">
        <f t="shared" si="18"/>
        <v>0</v>
      </c>
      <c r="P54" s="43">
        <f t="shared" si="19"/>
        <v>0</v>
      </c>
      <c r="Q54" s="44">
        <f t="shared" si="20"/>
        <v>0</v>
      </c>
      <c r="R54" s="68">
        <f t="shared" si="8"/>
        <v>0</v>
      </c>
      <c r="S54" s="51"/>
    </row>
    <row r="55" spans="1:19" ht="15.75" customHeight="1">
      <c r="A55" s="23">
        <v>44</v>
      </c>
      <c r="B55" s="43">
        <f t="shared" si="15"/>
        <v>0</v>
      </c>
      <c r="C55" s="123">
        <f t="shared" si="5"/>
        <v>0</v>
      </c>
      <c r="D55" s="43">
        <f t="shared" si="16"/>
        <v>0</v>
      </c>
      <c r="E55" s="68">
        <f t="shared" si="17"/>
        <v>0</v>
      </c>
      <c r="F55" s="51"/>
      <c r="G55" s="4195"/>
      <c r="H55" s="22" t="s">
        <v>24</v>
      </c>
      <c r="I55" s="43">
        <f>IF($B$8=12,B55,IF($B$8=4,0,IF($B$8=6,0,IF($B$8=3,0,0))))</f>
        <v>0</v>
      </c>
      <c r="J55" s="43">
        <f>IF($B$8=12,C55,IF($B$8=4,0,IF($B$8=6,0,IF($B$8=3,0,0))))</f>
        <v>0</v>
      </c>
      <c r="K55" s="68">
        <f>IF($B$8=12,D55,IF($B$8=4,0,IF($B$8=6,0,IF($B$8=3,0,0))))</f>
        <v>0</v>
      </c>
      <c r="M55" s="4195"/>
      <c r="N55" s="9" t="s">
        <v>24</v>
      </c>
      <c r="O55" s="43">
        <f t="shared" si="18"/>
        <v>0</v>
      </c>
      <c r="P55" s="43">
        <f t="shared" si="19"/>
        <v>0</v>
      </c>
      <c r="Q55" s="44">
        <f t="shared" si="20"/>
        <v>0</v>
      </c>
      <c r="R55" s="68">
        <f t="shared" si="8"/>
        <v>0</v>
      </c>
      <c r="S55" s="51"/>
    </row>
    <row r="56" spans="1:19" ht="15.75" customHeight="1">
      <c r="A56" s="23">
        <v>45</v>
      </c>
      <c r="B56" s="43">
        <f t="shared" si="15"/>
        <v>0</v>
      </c>
      <c r="C56" s="123">
        <f t="shared" si="5"/>
        <v>0</v>
      </c>
      <c r="D56" s="43">
        <f t="shared" si="16"/>
        <v>0</v>
      </c>
      <c r="E56" s="68">
        <f t="shared" si="17"/>
        <v>0</v>
      </c>
      <c r="F56" s="51"/>
      <c r="G56" s="4195"/>
      <c r="H56" s="22" t="s">
        <v>25</v>
      </c>
      <c r="I56" s="43">
        <f>IF($B$8=12,B56,IF($B$8=4,0,IF($B$8=6,B34,IF($B$8=3,B23,0))))</f>
        <v>0</v>
      </c>
      <c r="J56" s="43">
        <f>IF($B$8=12,C56,IF($B$8=4,0,IF($B$8=6,C34,IF($B$8=3,C23,0))))</f>
        <v>0</v>
      </c>
      <c r="K56" s="68">
        <f>IF($B$8=12,D56,IF($B$8=4,0,IF($B$8=6,D34,IF($B$8=3,D23,0))))</f>
        <v>0</v>
      </c>
      <c r="M56" s="4195"/>
      <c r="N56" s="9" t="s">
        <v>25</v>
      </c>
      <c r="O56" s="43">
        <f t="shared" si="18"/>
        <v>0</v>
      </c>
      <c r="P56" s="43">
        <f t="shared" si="19"/>
        <v>0</v>
      </c>
      <c r="Q56" s="44">
        <f t="shared" si="20"/>
        <v>0</v>
      </c>
      <c r="R56" s="68">
        <f t="shared" si="8"/>
        <v>0</v>
      </c>
      <c r="S56" s="51"/>
    </row>
    <row r="57" spans="1:19" ht="15.75" customHeight="1">
      <c r="A57" s="23">
        <v>46</v>
      </c>
      <c r="B57" s="43">
        <f t="shared" si="15"/>
        <v>0</v>
      </c>
      <c r="C57" s="123">
        <f t="shared" si="5"/>
        <v>0</v>
      </c>
      <c r="D57" s="43">
        <f t="shared" si="16"/>
        <v>0</v>
      </c>
      <c r="E57" s="68">
        <f t="shared" si="17"/>
        <v>0</v>
      </c>
      <c r="F57" s="51"/>
      <c r="G57" s="4195"/>
      <c r="H57" s="22" t="s">
        <v>26</v>
      </c>
      <c r="I57" s="43">
        <f>IF($B$8=12,B57,IF($B$8=4,B27,IF($B$8=6,0,IF($B$8=3,0,0))))</f>
        <v>0</v>
      </c>
      <c r="J57" s="43">
        <f>IF($B$8=12,C57,IF($B$8=4,C27,IF($B$8=6,0,IF($B$8=3,0,0))))</f>
        <v>0</v>
      </c>
      <c r="K57" s="68">
        <f>IF($B$8=12,D57,IF($B$8=4,D27,IF($B$8=6,0,IF($B$8=3,0,0))))</f>
        <v>0</v>
      </c>
      <c r="M57" s="4195"/>
      <c r="N57" s="9" t="s">
        <v>26</v>
      </c>
      <c r="O57" s="43">
        <f t="shared" si="18"/>
        <v>0</v>
      </c>
      <c r="P57" s="43">
        <f t="shared" si="19"/>
        <v>0</v>
      </c>
      <c r="Q57" s="44">
        <f t="shared" si="20"/>
        <v>0</v>
      </c>
      <c r="R57" s="68">
        <f t="shared" si="8"/>
        <v>0</v>
      </c>
      <c r="S57" s="51"/>
    </row>
    <row r="58" spans="1:19" ht="15.75" customHeight="1">
      <c r="A58" s="23">
        <v>47</v>
      </c>
      <c r="B58" s="43">
        <f t="shared" si="15"/>
        <v>0</v>
      </c>
      <c r="C58" s="123">
        <f t="shared" si="5"/>
        <v>0</v>
      </c>
      <c r="D58" s="43">
        <f t="shared" si="16"/>
        <v>0</v>
      </c>
      <c r="E58" s="68">
        <f t="shared" si="17"/>
        <v>0</v>
      </c>
      <c r="F58" s="51"/>
      <c r="G58" s="4195"/>
      <c r="H58" s="22" t="s">
        <v>27</v>
      </c>
      <c r="I58" s="43">
        <f>IF($B$8=12,B58,IF($B$8=4,0,IF($B$8=6,B35,IF($B$8=3,0,0))))</f>
        <v>0</v>
      </c>
      <c r="J58" s="43">
        <f>IF($B$8=12,C58,IF($B$8=4,0,IF($B$8=6,C35,IF($B$8=3,0,0))))</f>
        <v>0</v>
      </c>
      <c r="K58" s="68">
        <f>IF($B$8=12,D58,IF($B$8=4,0,IF($B$8=6,D35,IF($B$8=3,0,0))))</f>
        <v>0</v>
      </c>
      <c r="M58" s="4195"/>
      <c r="N58" s="9" t="s">
        <v>27</v>
      </c>
      <c r="O58" s="43">
        <f t="shared" si="18"/>
        <v>0</v>
      </c>
      <c r="P58" s="43">
        <f t="shared" si="19"/>
        <v>0</v>
      </c>
      <c r="Q58" s="44">
        <f t="shared" si="20"/>
        <v>0</v>
      </c>
      <c r="R58" s="68">
        <f t="shared" si="8"/>
        <v>0</v>
      </c>
      <c r="S58" s="51"/>
    </row>
    <row r="59" spans="1:19" ht="15.75" customHeight="1" thickBot="1">
      <c r="A59" s="24">
        <v>48</v>
      </c>
      <c r="B59" s="70">
        <f t="shared" si="15"/>
        <v>0</v>
      </c>
      <c r="C59" s="139">
        <f t="shared" si="5"/>
        <v>0</v>
      </c>
      <c r="D59" s="70">
        <f t="shared" si="16"/>
        <v>0</v>
      </c>
      <c r="E59" s="75">
        <f t="shared" si="17"/>
        <v>0</v>
      </c>
      <c r="F59" s="243">
        <f>SUM(D48:D59)</f>
        <v>0</v>
      </c>
      <c r="G59" s="4196"/>
      <c r="H59" s="25" t="s">
        <v>28</v>
      </c>
      <c r="I59" s="70">
        <f>IF($B$8=12,B59,IF($B$8=4,0,IF($B$8=6,0,IF($B$8=3,0,0))))</f>
        <v>0</v>
      </c>
      <c r="J59" s="70">
        <f>IF($B$8=12,C59,IF($B$8=4,0,IF($B$8=6,0,IF($B$8=3,0,0))))</f>
        <v>0</v>
      </c>
      <c r="K59" s="72">
        <f>IF($B$8=12,D59,IF($B$8=4,0,IF($B$8=6,0,IF($B$8=3,0,0))))</f>
        <v>0</v>
      </c>
      <c r="M59" s="4196"/>
      <c r="N59" s="35" t="s">
        <v>28</v>
      </c>
      <c r="O59" s="45">
        <f t="shared" si="18"/>
        <v>0</v>
      </c>
      <c r="P59" s="45">
        <f t="shared" si="19"/>
        <v>0</v>
      </c>
      <c r="Q59" s="46">
        <f t="shared" si="20"/>
        <v>0</v>
      </c>
      <c r="R59" s="75">
        <f t="shared" si="8"/>
        <v>0</v>
      </c>
      <c r="S59" s="1100">
        <f>SUM(Q48:Q59)</f>
        <v>0</v>
      </c>
    </row>
    <row r="60" spans="1:19" ht="15.75" customHeight="1">
      <c r="A60" s="23">
        <v>49</v>
      </c>
      <c r="B60" s="43">
        <f t="shared" si="15"/>
        <v>0</v>
      </c>
      <c r="C60" s="123">
        <f t="shared" si="5"/>
        <v>0</v>
      </c>
      <c r="D60" s="43">
        <f t="shared" si="16"/>
        <v>0</v>
      </c>
      <c r="E60" s="68">
        <f t="shared" si="17"/>
        <v>0</v>
      </c>
      <c r="F60" s="51"/>
      <c r="G60" s="4194">
        <f>G48+1</f>
        <v>4</v>
      </c>
      <c r="H60" s="22" t="s">
        <v>17</v>
      </c>
      <c r="I60" s="43">
        <f>IF($B$8=12,B60,IF($B$8=4,B28,IF($B$8=6,B36,IF($B$8=3,B24,IF($B$8=2,B20,IF($B$8=1,B16,0))))))</f>
        <v>0</v>
      </c>
      <c r="J60" s="43">
        <f>IF($B$8=12,C60,IF($B$8=4,C28,IF($B$8=6,C36,IF($B$8=3,C24,IF($B$8=2,C20,IF($B$8=1,C16,0))))))</f>
        <v>0</v>
      </c>
      <c r="K60" s="68">
        <f>IF($B$8=12,D60,IF($B$8=4,D28,IF($B$8=6,D36,IF($B$8=3,D24,IF($B$8=2,D20,IF($B$8=1,D16,0))))))</f>
        <v>0</v>
      </c>
      <c r="M60" s="4194">
        <f>M12+4</f>
        <v>4</v>
      </c>
      <c r="N60" s="9" t="s">
        <v>17</v>
      </c>
      <c r="O60" s="76">
        <f t="shared" ref="O60:O71" si="21">IF($I$6=5,I12,IF($I$6=4,I24,IF($I$6=3,I36,IF($I$6=2,I48,IF($I$6=1,I60,0)))))</f>
        <v>0</v>
      </c>
      <c r="P60" s="76">
        <f t="shared" ref="P60:P71" si="22">IF($I$6=5,J12,IF($I$6=4,J24,IF($I$6=3,J36,IF($I$6=2,J48,IF($I$6=1,J60,0)))))</f>
        <v>0</v>
      </c>
      <c r="Q60" s="77">
        <f t="shared" ref="Q60:Q71" si="23">IF($I$6=5,K12,IF($I$6=4,K24,IF($I$6=3,K36,IF($I$6=2,K48,IF($I$6=1,K60,0)))))</f>
        <v>0</v>
      </c>
      <c r="R60" s="68">
        <f t="shared" si="8"/>
        <v>0</v>
      </c>
      <c r="S60" s="51"/>
    </row>
    <row r="61" spans="1:19" ht="15.75" customHeight="1">
      <c r="A61" s="23">
        <v>50</v>
      </c>
      <c r="B61" s="43">
        <f t="shared" si="15"/>
        <v>0</v>
      </c>
      <c r="C61" s="123">
        <f t="shared" si="5"/>
        <v>0</v>
      </c>
      <c r="D61" s="43">
        <f t="shared" si="16"/>
        <v>0</v>
      </c>
      <c r="E61" s="68">
        <f t="shared" si="17"/>
        <v>0</v>
      </c>
      <c r="F61" s="51"/>
      <c r="G61" s="4195"/>
      <c r="H61" s="22" t="s">
        <v>18</v>
      </c>
      <c r="I61" s="43">
        <f>IF($B$8=12,B61,0)</f>
        <v>0</v>
      </c>
      <c r="J61" s="43">
        <f>IF($B$8=12,C61,0)</f>
        <v>0</v>
      </c>
      <c r="K61" s="68">
        <f>IF($B$8=12,D61,0)</f>
        <v>0</v>
      </c>
      <c r="M61" s="4195"/>
      <c r="N61" s="9" t="s">
        <v>18</v>
      </c>
      <c r="O61" s="43">
        <f t="shared" si="21"/>
        <v>0</v>
      </c>
      <c r="P61" s="43">
        <f t="shared" si="22"/>
        <v>0</v>
      </c>
      <c r="Q61" s="44">
        <f t="shared" si="23"/>
        <v>0</v>
      </c>
      <c r="R61" s="68">
        <f t="shared" si="8"/>
        <v>0</v>
      </c>
      <c r="S61" s="51"/>
    </row>
    <row r="62" spans="1:19" ht="15.75" customHeight="1">
      <c r="A62" s="23">
        <v>51</v>
      </c>
      <c r="B62" s="43">
        <f t="shared" si="15"/>
        <v>0</v>
      </c>
      <c r="C62" s="123">
        <f t="shared" si="5"/>
        <v>0</v>
      </c>
      <c r="D62" s="43">
        <f t="shared" si="16"/>
        <v>0</v>
      </c>
      <c r="E62" s="68">
        <f t="shared" si="17"/>
        <v>0</v>
      </c>
      <c r="F62" s="51"/>
      <c r="G62" s="4195"/>
      <c r="H62" s="22" t="s">
        <v>19</v>
      </c>
      <c r="I62" s="43">
        <f>IF($B$8=12,B62,IF($B$8=6,B37,0))</f>
        <v>0</v>
      </c>
      <c r="J62" s="43">
        <f>IF($B$8=12,C62,IF($B$8=6,C37,0))</f>
        <v>0</v>
      </c>
      <c r="K62" s="68">
        <f>IF($B$8=12,D62,IF($B$8=6,D37,0))</f>
        <v>0</v>
      </c>
      <c r="M62" s="4195"/>
      <c r="N62" s="9" t="s">
        <v>19</v>
      </c>
      <c r="O62" s="43">
        <f t="shared" si="21"/>
        <v>0</v>
      </c>
      <c r="P62" s="43">
        <f t="shared" si="22"/>
        <v>0</v>
      </c>
      <c r="Q62" s="44">
        <f t="shared" si="23"/>
        <v>0</v>
      </c>
      <c r="R62" s="68">
        <f t="shared" si="8"/>
        <v>0</v>
      </c>
      <c r="S62" s="51"/>
    </row>
    <row r="63" spans="1:19" ht="15.75" customHeight="1">
      <c r="A63" s="23">
        <v>52</v>
      </c>
      <c r="B63" s="43">
        <f t="shared" si="15"/>
        <v>0</v>
      </c>
      <c r="C63" s="123">
        <f t="shared" si="5"/>
        <v>0</v>
      </c>
      <c r="D63" s="43">
        <f t="shared" si="16"/>
        <v>0</v>
      </c>
      <c r="E63" s="68">
        <f t="shared" si="17"/>
        <v>0</v>
      </c>
      <c r="F63" s="51"/>
      <c r="G63" s="4195"/>
      <c r="H63" s="22" t="s">
        <v>20</v>
      </c>
      <c r="I63" s="43">
        <f>IF($B$8=12,B63,IF($B$8=4,B29,IF($B$8=6,0,IF($B$8=3,0,0))))</f>
        <v>0</v>
      </c>
      <c r="J63" s="43">
        <f>IF($B$8=12,C63,IF($B$8=4,C29,IF($B$8=6,0,IF($B$8=3,0,0))))</f>
        <v>0</v>
      </c>
      <c r="K63" s="68">
        <f>IF($B$8=12,D63,IF($B$8=4,D29,IF($B$8=6,0,IF($B$8=3,0,0))))</f>
        <v>0</v>
      </c>
      <c r="M63" s="4195"/>
      <c r="N63" s="9" t="s">
        <v>20</v>
      </c>
      <c r="O63" s="43">
        <f t="shared" si="21"/>
        <v>0</v>
      </c>
      <c r="P63" s="43">
        <f t="shared" si="22"/>
        <v>0</v>
      </c>
      <c r="Q63" s="44">
        <f t="shared" si="23"/>
        <v>0</v>
      </c>
      <c r="R63" s="68">
        <f t="shared" si="8"/>
        <v>0</v>
      </c>
      <c r="S63" s="51"/>
    </row>
    <row r="64" spans="1:19" ht="15.75" customHeight="1">
      <c r="A64" s="23">
        <v>53</v>
      </c>
      <c r="B64" s="43">
        <f t="shared" si="15"/>
        <v>0</v>
      </c>
      <c r="C64" s="123">
        <f t="shared" si="5"/>
        <v>0</v>
      </c>
      <c r="D64" s="43">
        <f t="shared" si="16"/>
        <v>0</v>
      </c>
      <c r="E64" s="68">
        <f t="shared" si="17"/>
        <v>0</v>
      </c>
      <c r="F64" s="51"/>
      <c r="G64" s="4195"/>
      <c r="H64" s="22" t="s">
        <v>21</v>
      </c>
      <c r="I64" s="43">
        <f>IF($B$8=12,B64,IF($B$8=4,0,IF($B$8=6,B38,IF($B$8=3,B25,0))))</f>
        <v>0</v>
      </c>
      <c r="J64" s="43">
        <f>IF($B$8=12,C64,IF($B$8=4,0,IF($B$8=6,C38,IF($B$8=3,C25,0))))</f>
        <v>0</v>
      </c>
      <c r="K64" s="68">
        <f>IF($B$8=12,D64,IF($B$8=4,0,IF($B$8=6,D38,IF($B$8=3,D25,0))))</f>
        <v>0</v>
      </c>
      <c r="M64" s="4195"/>
      <c r="N64" s="9" t="s">
        <v>21</v>
      </c>
      <c r="O64" s="43">
        <f t="shared" si="21"/>
        <v>0</v>
      </c>
      <c r="P64" s="43">
        <f t="shared" si="22"/>
        <v>0</v>
      </c>
      <c r="Q64" s="44">
        <f t="shared" si="23"/>
        <v>0</v>
      </c>
      <c r="R64" s="68">
        <f t="shared" si="8"/>
        <v>0</v>
      </c>
      <c r="S64" s="51"/>
    </row>
    <row r="65" spans="1:19" ht="15.75" customHeight="1">
      <c r="A65" s="23">
        <v>54</v>
      </c>
      <c r="B65" s="43">
        <f t="shared" si="15"/>
        <v>0</v>
      </c>
      <c r="C65" s="123">
        <f t="shared" si="5"/>
        <v>0</v>
      </c>
      <c r="D65" s="43">
        <f t="shared" si="16"/>
        <v>0</v>
      </c>
      <c r="E65" s="68">
        <f t="shared" si="17"/>
        <v>0</v>
      </c>
      <c r="F65" s="51"/>
      <c r="G65" s="4195"/>
      <c r="H65" s="22" t="s">
        <v>22</v>
      </c>
      <c r="I65" s="43">
        <f>IF($B$8=12,B65,IF($B$8=4,0,IF($B$8=6,0,IF($B$8=3,0,0))))</f>
        <v>0</v>
      </c>
      <c r="J65" s="43">
        <f>IF($B$8=12,C65,IF($B$8=4,0,IF($B$8=6,0,IF($B$8=3,0,0))))</f>
        <v>0</v>
      </c>
      <c r="K65" s="68">
        <f>IF($B$8=12,D65,IF($B$8=4,0,IF($B$8=6,0,IF($B$8=3,0,0))))</f>
        <v>0</v>
      </c>
      <c r="M65" s="4195"/>
      <c r="N65" s="9" t="s">
        <v>22</v>
      </c>
      <c r="O65" s="43">
        <f t="shared" si="21"/>
        <v>0</v>
      </c>
      <c r="P65" s="43">
        <f t="shared" si="22"/>
        <v>0</v>
      </c>
      <c r="Q65" s="44">
        <f t="shared" si="23"/>
        <v>0</v>
      </c>
      <c r="R65" s="68">
        <f t="shared" si="8"/>
        <v>0</v>
      </c>
      <c r="S65" s="51"/>
    </row>
    <row r="66" spans="1:19" ht="15.75" customHeight="1">
      <c r="A66" s="23">
        <v>55</v>
      </c>
      <c r="B66" s="43">
        <f t="shared" si="15"/>
        <v>0</v>
      </c>
      <c r="C66" s="123">
        <f t="shared" si="5"/>
        <v>0</v>
      </c>
      <c r="D66" s="43">
        <f t="shared" si="16"/>
        <v>0</v>
      </c>
      <c r="E66" s="68">
        <f t="shared" si="17"/>
        <v>0</v>
      </c>
      <c r="F66" s="51"/>
      <c r="G66" s="4195"/>
      <c r="H66" s="22" t="s">
        <v>23</v>
      </c>
      <c r="I66" s="43">
        <f>IF($B$8=12,B66,IF($B$8=4,B30,IF($B$8=6,B39,IF($B$8=3,0,IF($B$8=2,B21,0)))))</f>
        <v>0</v>
      </c>
      <c r="J66" s="43">
        <f>IF($B$8=12,C66,IF($B$8=4,C30,IF($B$8=6,C39,IF($B$8=3,0,IF($B$8=2,C21,0)))))</f>
        <v>0</v>
      </c>
      <c r="K66" s="68">
        <f>IF($B$8=12,D66,IF($B$8=4,D30,IF($B$8=6,D39,IF($B$8=3,0,IF($B$8=2,D21,0)))))</f>
        <v>0</v>
      </c>
      <c r="M66" s="4195"/>
      <c r="N66" s="9" t="s">
        <v>23</v>
      </c>
      <c r="O66" s="43">
        <f t="shared" si="21"/>
        <v>0</v>
      </c>
      <c r="P66" s="43">
        <f t="shared" si="22"/>
        <v>0</v>
      </c>
      <c r="Q66" s="44">
        <f t="shared" si="23"/>
        <v>0</v>
      </c>
      <c r="R66" s="68">
        <f t="shared" si="8"/>
        <v>0</v>
      </c>
      <c r="S66" s="51"/>
    </row>
    <row r="67" spans="1:19" ht="15.75" customHeight="1">
      <c r="A67" s="23">
        <v>56</v>
      </c>
      <c r="B67" s="43">
        <f t="shared" si="15"/>
        <v>0</v>
      </c>
      <c r="C67" s="123">
        <f t="shared" si="5"/>
        <v>0</v>
      </c>
      <c r="D67" s="43">
        <f t="shared" si="16"/>
        <v>0</v>
      </c>
      <c r="E67" s="68">
        <f t="shared" si="17"/>
        <v>0</v>
      </c>
      <c r="F67" s="51"/>
      <c r="G67" s="4195"/>
      <c r="H67" s="22" t="s">
        <v>24</v>
      </c>
      <c r="I67" s="43">
        <f>IF($B$8=12,B67,IF($B$8=4,0,IF($B$8=6,0,IF($B$8=3,0,0))))</f>
        <v>0</v>
      </c>
      <c r="J67" s="43">
        <f>IF($B$8=12,C67,IF($B$8=4,0,IF($B$8=6,0,IF($B$8=3,0,0))))</f>
        <v>0</v>
      </c>
      <c r="K67" s="68">
        <f>IF($B$8=12,D67,IF($B$8=4,0,IF($B$8=6,0,IF($B$8=3,0,0))))</f>
        <v>0</v>
      </c>
      <c r="M67" s="4195"/>
      <c r="N67" s="9" t="s">
        <v>24</v>
      </c>
      <c r="O67" s="43">
        <f t="shared" si="21"/>
        <v>0</v>
      </c>
      <c r="P67" s="43">
        <f t="shared" si="22"/>
        <v>0</v>
      </c>
      <c r="Q67" s="44">
        <f t="shared" si="23"/>
        <v>0</v>
      </c>
      <c r="R67" s="68">
        <f t="shared" si="8"/>
        <v>0</v>
      </c>
      <c r="S67" s="51"/>
    </row>
    <row r="68" spans="1:19" ht="15.75" customHeight="1">
      <c r="A68" s="23">
        <v>57</v>
      </c>
      <c r="B68" s="43">
        <f t="shared" si="15"/>
        <v>0</v>
      </c>
      <c r="C68" s="123">
        <f t="shared" si="5"/>
        <v>0</v>
      </c>
      <c r="D68" s="43">
        <f t="shared" si="16"/>
        <v>0</v>
      </c>
      <c r="E68" s="68">
        <f t="shared" si="17"/>
        <v>0</v>
      </c>
      <c r="F68" s="51"/>
      <c r="G68" s="4195"/>
      <c r="H68" s="22" t="s">
        <v>25</v>
      </c>
      <c r="I68" s="43">
        <f>IF($B$8=12,B68,IF($B$8=4,0,IF($B$8=6,B40,IF($B$8=3,B26,0))))</f>
        <v>0</v>
      </c>
      <c r="J68" s="43">
        <f>IF($B$8=12,C68,IF($B$8=4,0,IF($B$8=6,C40,IF($B$8=3,C26,0))))</f>
        <v>0</v>
      </c>
      <c r="K68" s="68">
        <f>IF($B$8=12,D68,IF($B$8=4,0,IF($B$8=6,D40,IF($B$8=3,D26,0))))</f>
        <v>0</v>
      </c>
      <c r="M68" s="4195"/>
      <c r="N68" s="9" t="s">
        <v>25</v>
      </c>
      <c r="O68" s="43">
        <f t="shared" si="21"/>
        <v>0</v>
      </c>
      <c r="P68" s="43">
        <f t="shared" si="22"/>
        <v>0</v>
      </c>
      <c r="Q68" s="44">
        <f t="shared" si="23"/>
        <v>0</v>
      </c>
      <c r="R68" s="68">
        <f t="shared" si="8"/>
        <v>0</v>
      </c>
      <c r="S68" s="51"/>
    </row>
    <row r="69" spans="1:19" ht="15.75" customHeight="1">
      <c r="A69" s="23">
        <v>58</v>
      </c>
      <c r="B69" s="43">
        <f t="shared" si="15"/>
        <v>0</v>
      </c>
      <c r="C69" s="123">
        <f t="shared" si="5"/>
        <v>0</v>
      </c>
      <c r="D69" s="43">
        <f t="shared" si="16"/>
        <v>0</v>
      </c>
      <c r="E69" s="68">
        <f t="shared" si="17"/>
        <v>0</v>
      </c>
      <c r="F69" s="51"/>
      <c r="G69" s="4195"/>
      <c r="H69" s="22" t="s">
        <v>26</v>
      </c>
      <c r="I69" s="43">
        <f>IF($B$8=12,B69,IF($B$8=4,B31,IF($B$8=6,0,IF($B$8=3,0,0))))</f>
        <v>0</v>
      </c>
      <c r="J69" s="43">
        <f>IF($B$8=12,C69,IF($B$8=4,C31,IF($B$8=6,0,IF($B$8=3,0,0))))</f>
        <v>0</v>
      </c>
      <c r="K69" s="68">
        <f>IF($B$8=12,D69,IF($B$8=4,D31,IF($B$8=6,0,IF($B$8=3,0,0))))</f>
        <v>0</v>
      </c>
      <c r="M69" s="4195"/>
      <c r="N69" s="9" t="s">
        <v>26</v>
      </c>
      <c r="O69" s="43">
        <f t="shared" si="21"/>
        <v>0</v>
      </c>
      <c r="P69" s="43">
        <f t="shared" si="22"/>
        <v>0</v>
      </c>
      <c r="Q69" s="44">
        <f t="shared" si="23"/>
        <v>0</v>
      </c>
      <c r="R69" s="68">
        <f t="shared" si="8"/>
        <v>0</v>
      </c>
      <c r="S69" s="51"/>
    </row>
    <row r="70" spans="1:19" ht="15.75" customHeight="1">
      <c r="A70" s="23">
        <v>59</v>
      </c>
      <c r="B70" s="43">
        <f t="shared" si="15"/>
        <v>0</v>
      </c>
      <c r="C70" s="123">
        <f t="shared" si="5"/>
        <v>0</v>
      </c>
      <c r="D70" s="43">
        <f t="shared" si="16"/>
        <v>0</v>
      </c>
      <c r="E70" s="68">
        <f t="shared" si="17"/>
        <v>0</v>
      </c>
      <c r="F70" s="51"/>
      <c r="G70" s="4195"/>
      <c r="H70" s="22" t="s">
        <v>27</v>
      </c>
      <c r="I70" s="43">
        <f>IF($B$8=12,B70,IF($B$8=4,0,IF($B$8=6,B41,IF($B$8=3,0,0))))</f>
        <v>0</v>
      </c>
      <c r="J70" s="43">
        <f>IF($B$8=12,C70,IF($B$8=4,0,IF($B$8=6,C41,IF($B$8=3,0,0))))</f>
        <v>0</v>
      </c>
      <c r="K70" s="68">
        <f>IF($B$8=12,D70,IF($B$8=4,0,IF($B$8=6,D41,IF($B$8=3,0,0))))</f>
        <v>0</v>
      </c>
      <c r="M70" s="4195"/>
      <c r="N70" s="9" t="s">
        <v>27</v>
      </c>
      <c r="O70" s="43">
        <f t="shared" si="21"/>
        <v>0</v>
      </c>
      <c r="P70" s="43">
        <f t="shared" si="22"/>
        <v>0</v>
      </c>
      <c r="Q70" s="44">
        <f t="shared" si="23"/>
        <v>0</v>
      </c>
      <c r="R70" s="68">
        <f t="shared" si="8"/>
        <v>0</v>
      </c>
      <c r="S70" s="51"/>
    </row>
    <row r="71" spans="1:19" ht="15.75" customHeight="1" thickBot="1">
      <c r="A71" s="26">
        <v>60</v>
      </c>
      <c r="B71" s="48">
        <f t="shared" si="15"/>
        <v>0</v>
      </c>
      <c r="C71" s="138">
        <f t="shared" si="5"/>
        <v>0</v>
      </c>
      <c r="D71" s="48">
        <f t="shared" si="16"/>
        <v>0</v>
      </c>
      <c r="E71" s="49">
        <f t="shared" si="17"/>
        <v>0</v>
      </c>
      <c r="F71" s="243">
        <f>SUM(D60:D71)</f>
        <v>0</v>
      </c>
      <c r="G71" s="4196"/>
      <c r="H71" s="38" t="s">
        <v>28</v>
      </c>
      <c r="I71" s="48">
        <f>IF($B$8=12,B71,IF($B$8=4,0,IF($B$8=6,0,IF($B$8=3,0,0))))</f>
        <v>0</v>
      </c>
      <c r="J71" s="48">
        <f>IF($B$8=12,C71,IF($B$8=4,0,IF($B$8=6,0,IF($B$8=3,0,0))))</f>
        <v>0</v>
      </c>
      <c r="K71" s="79">
        <f>IF($B$8=12,D71,IF($B$8=4,0,IF($B$8=6,0,IF($B$8=3,0,0))))</f>
        <v>0</v>
      </c>
      <c r="M71" s="4196"/>
      <c r="N71" s="36" t="s">
        <v>28</v>
      </c>
      <c r="O71" s="48">
        <f t="shared" si="21"/>
        <v>0</v>
      </c>
      <c r="P71" s="48">
        <f t="shared" si="22"/>
        <v>0</v>
      </c>
      <c r="Q71" s="49">
        <f t="shared" si="23"/>
        <v>0</v>
      </c>
      <c r="R71" s="49">
        <f t="shared" si="8"/>
        <v>0</v>
      </c>
      <c r="S71" s="1100">
        <f>SUM(Q60:Q71)</f>
        <v>0</v>
      </c>
    </row>
    <row r="72" spans="1:19" ht="16.5" thickTop="1">
      <c r="A72" s="23">
        <v>61</v>
      </c>
      <c r="B72" s="43">
        <f t="shared" ref="B72:B83" si="24">IF(A72&gt;$I$9,IF(E71&gt;1,PMT($B$6/$B$8,$B$7*$B$8,-$B$5),0),0)</f>
        <v>0</v>
      </c>
      <c r="C72" s="123">
        <f t="shared" ref="C72:C83" si="25">IF(B72&gt;0,B72-D72,E72*($B$6/$B$8))</f>
        <v>0</v>
      </c>
      <c r="D72" s="43">
        <f t="shared" ref="D72:D83" si="26">IF(A72&gt;$I$9,B72-(E71*($B$6/$B$8)),0)</f>
        <v>0</v>
      </c>
      <c r="E72" s="44">
        <f t="shared" ref="E72:E83" si="27">IF((E71-D72)&gt;0,E71-D72,0)</f>
        <v>0</v>
      </c>
      <c r="F72" s="51"/>
      <c r="H72" s="22" t="s">
        <v>17</v>
      </c>
      <c r="I72" s="43">
        <f t="shared" ref="I72:I83" si="28">IF($B$8=12,B72,IF($B$8=4,0,IF($B$8=6,0,IF($B$8=3,0,0))))</f>
        <v>0</v>
      </c>
      <c r="J72" s="43">
        <f t="shared" ref="J72:J83" si="29">IF($B$8=12,C72,IF($B$8=4,0,IF($B$8=6,0,IF($B$8=3,0,0))))</f>
        <v>0</v>
      </c>
      <c r="K72" s="68">
        <f t="shared" ref="K72:K83" si="30">IF($B$8=12,D72,IF($B$8=4,0,IF($B$8=6,0,IF($B$8=3,0,0))))</f>
        <v>0</v>
      </c>
      <c r="N72" s="9" t="s">
        <v>17</v>
      </c>
      <c r="O72" s="43">
        <f t="shared" ref="O72:O83" si="31">IF($I$6=5,I24,IF($I$6=4,I36,IF($I$6=3,I48,IF($I$6=2,I60,IF($I$6=1,I72,0)))))</f>
        <v>0</v>
      </c>
      <c r="P72" s="43">
        <f t="shared" ref="P72:P83" si="32">IF($I$6=5,J24,IF($I$6=4,J36,IF($I$6=3,J48,IF($I$6=2,J60,IF($I$6=1,J72,0)))))</f>
        <v>0</v>
      </c>
      <c r="Q72" s="44">
        <f t="shared" ref="Q72:Q83" si="33">IF($I$6=5,K24,IF($I$6=4,K36,IF($I$6=3,K48,IF($I$6=2,K60,IF($I$6=1,K72,0)))))</f>
        <v>0</v>
      </c>
      <c r="R72" s="44">
        <f t="shared" si="8"/>
        <v>0</v>
      </c>
      <c r="S72" s="51"/>
    </row>
    <row r="73" spans="1:19">
      <c r="A73" s="23">
        <v>62</v>
      </c>
      <c r="B73" s="43">
        <f t="shared" si="24"/>
        <v>0</v>
      </c>
      <c r="C73" s="123">
        <f t="shared" si="25"/>
        <v>0</v>
      </c>
      <c r="D73" s="43">
        <f t="shared" si="26"/>
        <v>0</v>
      </c>
      <c r="E73" s="44">
        <f t="shared" si="27"/>
        <v>0</v>
      </c>
      <c r="F73"/>
      <c r="H73" s="22" t="s">
        <v>18</v>
      </c>
      <c r="I73" s="43">
        <f t="shared" si="28"/>
        <v>0</v>
      </c>
      <c r="J73" s="43">
        <f t="shared" si="29"/>
        <v>0</v>
      </c>
      <c r="K73" s="68">
        <f t="shared" si="30"/>
        <v>0</v>
      </c>
      <c r="N73" s="9" t="s">
        <v>18</v>
      </c>
      <c r="O73" s="43">
        <f t="shared" si="31"/>
        <v>0</v>
      </c>
      <c r="P73" s="43">
        <f t="shared" si="32"/>
        <v>0</v>
      </c>
      <c r="Q73" s="44">
        <f t="shared" si="33"/>
        <v>0</v>
      </c>
      <c r="R73" s="44">
        <f t="shared" si="8"/>
        <v>0</v>
      </c>
      <c r="S73"/>
    </row>
    <row r="74" spans="1:19">
      <c r="A74" s="23">
        <v>63</v>
      </c>
      <c r="B74" s="43">
        <f t="shared" si="24"/>
        <v>0</v>
      </c>
      <c r="C74" s="123">
        <f t="shared" si="25"/>
        <v>0</v>
      </c>
      <c r="D74" s="43">
        <f t="shared" si="26"/>
        <v>0</v>
      </c>
      <c r="E74" s="44">
        <f t="shared" si="27"/>
        <v>0</v>
      </c>
      <c r="F74"/>
      <c r="H74" s="22" t="s">
        <v>19</v>
      </c>
      <c r="I74" s="43">
        <f t="shared" si="28"/>
        <v>0</v>
      </c>
      <c r="J74" s="43">
        <f t="shared" si="29"/>
        <v>0</v>
      </c>
      <c r="K74" s="68">
        <f t="shared" si="30"/>
        <v>0</v>
      </c>
      <c r="N74" s="9" t="s">
        <v>19</v>
      </c>
      <c r="O74" s="43">
        <f t="shared" si="31"/>
        <v>0</v>
      </c>
      <c r="P74" s="43">
        <f t="shared" si="32"/>
        <v>0</v>
      </c>
      <c r="Q74" s="44">
        <f t="shared" si="33"/>
        <v>0</v>
      </c>
      <c r="R74" s="44">
        <f t="shared" si="8"/>
        <v>0</v>
      </c>
      <c r="S74"/>
    </row>
    <row r="75" spans="1:19">
      <c r="A75" s="23">
        <v>64</v>
      </c>
      <c r="B75" s="43">
        <f t="shared" si="24"/>
        <v>0</v>
      </c>
      <c r="C75" s="123">
        <f t="shared" si="25"/>
        <v>0</v>
      </c>
      <c r="D75" s="43">
        <f t="shared" si="26"/>
        <v>0</v>
      </c>
      <c r="E75" s="44">
        <f t="shared" si="27"/>
        <v>0</v>
      </c>
      <c r="F75"/>
      <c r="H75" s="22" t="s">
        <v>20</v>
      </c>
      <c r="I75" s="43">
        <f t="shared" si="28"/>
        <v>0</v>
      </c>
      <c r="J75" s="43">
        <f t="shared" si="29"/>
        <v>0</v>
      </c>
      <c r="K75" s="68">
        <f t="shared" si="30"/>
        <v>0</v>
      </c>
      <c r="N75" s="9" t="s">
        <v>20</v>
      </c>
      <c r="O75" s="43">
        <f t="shared" si="31"/>
        <v>0</v>
      </c>
      <c r="P75" s="43">
        <f t="shared" si="32"/>
        <v>0</v>
      </c>
      <c r="Q75" s="44">
        <f t="shared" si="33"/>
        <v>0</v>
      </c>
      <c r="R75" s="44">
        <f t="shared" si="8"/>
        <v>0</v>
      </c>
      <c r="S75"/>
    </row>
    <row r="76" spans="1:19">
      <c r="A76" s="23">
        <v>65</v>
      </c>
      <c r="B76" s="43">
        <f t="shared" si="24"/>
        <v>0</v>
      </c>
      <c r="C76" s="123">
        <f t="shared" si="25"/>
        <v>0</v>
      </c>
      <c r="D76" s="43">
        <f t="shared" si="26"/>
        <v>0</v>
      </c>
      <c r="E76" s="44">
        <f t="shared" si="27"/>
        <v>0</v>
      </c>
      <c r="F76"/>
      <c r="H76" s="22" t="s">
        <v>21</v>
      </c>
      <c r="I76" s="43">
        <f t="shared" si="28"/>
        <v>0</v>
      </c>
      <c r="J76" s="43">
        <f t="shared" si="29"/>
        <v>0</v>
      </c>
      <c r="K76" s="68">
        <f t="shared" si="30"/>
        <v>0</v>
      </c>
      <c r="N76" s="9" t="s">
        <v>21</v>
      </c>
      <c r="O76" s="43">
        <f t="shared" si="31"/>
        <v>0</v>
      </c>
      <c r="P76" s="43">
        <f t="shared" si="32"/>
        <v>0</v>
      </c>
      <c r="Q76" s="44">
        <f t="shared" si="33"/>
        <v>0</v>
      </c>
      <c r="R76" s="44">
        <f t="shared" si="8"/>
        <v>0</v>
      </c>
      <c r="S76"/>
    </row>
    <row r="77" spans="1:19">
      <c r="A77" s="23">
        <v>66</v>
      </c>
      <c r="B77" s="43">
        <f t="shared" si="24"/>
        <v>0</v>
      </c>
      <c r="C77" s="123">
        <f t="shared" si="25"/>
        <v>0</v>
      </c>
      <c r="D77" s="43">
        <f t="shared" si="26"/>
        <v>0</v>
      </c>
      <c r="E77" s="44">
        <f t="shared" si="27"/>
        <v>0</v>
      </c>
      <c r="F77"/>
      <c r="H77" s="22" t="s">
        <v>22</v>
      </c>
      <c r="I77" s="43">
        <f t="shared" si="28"/>
        <v>0</v>
      </c>
      <c r="J77" s="43">
        <f t="shared" si="29"/>
        <v>0</v>
      </c>
      <c r="K77" s="68">
        <f t="shared" si="30"/>
        <v>0</v>
      </c>
      <c r="N77" s="9" t="s">
        <v>22</v>
      </c>
      <c r="O77" s="43">
        <f t="shared" si="31"/>
        <v>0</v>
      </c>
      <c r="P77" s="43">
        <f t="shared" si="32"/>
        <v>0</v>
      </c>
      <c r="Q77" s="44">
        <f t="shared" si="33"/>
        <v>0</v>
      </c>
      <c r="R77" s="44">
        <f t="shared" si="8"/>
        <v>0</v>
      </c>
      <c r="S77"/>
    </row>
    <row r="78" spans="1:19">
      <c r="A78" s="23">
        <v>67</v>
      </c>
      <c r="B78" s="43">
        <f t="shared" si="24"/>
        <v>0</v>
      </c>
      <c r="C78" s="123">
        <f t="shared" si="25"/>
        <v>0</v>
      </c>
      <c r="D78" s="43">
        <f t="shared" si="26"/>
        <v>0</v>
      </c>
      <c r="E78" s="44">
        <f t="shared" si="27"/>
        <v>0</v>
      </c>
      <c r="F78"/>
      <c r="H78" s="22" t="s">
        <v>23</v>
      </c>
      <c r="I78" s="43">
        <f t="shared" si="28"/>
        <v>0</v>
      </c>
      <c r="J78" s="43">
        <f t="shared" si="29"/>
        <v>0</v>
      </c>
      <c r="K78" s="68">
        <f t="shared" si="30"/>
        <v>0</v>
      </c>
      <c r="N78" s="9" t="s">
        <v>23</v>
      </c>
      <c r="O78" s="43">
        <f t="shared" si="31"/>
        <v>0</v>
      </c>
      <c r="P78" s="43">
        <f t="shared" si="32"/>
        <v>0</v>
      </c>
      <c r="Q78" s="44">
        <f t="shared" si="33"/>
        <v>0</v>
      </c>
      <c r="R78" s="44">
        <f t="shared" ref="R78:R83" si="34">IF((R77-Q78)&gt;0,R77-Q78,0)</f>
        <v>0</v>
      </c>
      <c r="S78"/>
    </row>
    <row r="79" spans="1:19">
      <c r="A79" s="23">
        <v>68</v>
      </c>
      <c r="B79" s="43">
        <f t="shared" si="24"/>
        <v>0</v>
      </c>
      <c r="C79" s="123">
        <f t="shared" si="25"/>
        <v>0</v>
      </c>
      <c r="D79" s="43">
        <f t="shared" si="26"/>
        <v>0</v>
      </c>
      <c r="E79" s="44">
        <f t="shared" si="27"/>
        <v>0</v>
      </c>
      <c r="F79"/>
      <c r="H79" s="22" t="s">
        <v>24</v>
      </c>
      <c r="I79" s="43">
        <f t="shared" si="28"/>
        <v>0</v>
      </c>
      <c r="J79" s="43">
        <f t="shared" si="29"/>
        <v>0</v>
      </c>
      <c r="K79" s="68">
        <f t="shared" si="30"/>
        <v>0</v>
      </c>
      <c r="N79" s="9" t="s">
        <v>24</v>
      </c>
      <c r="O79" s="43">
        <f t="shared" si="31"/>
        <v>0</v>
      </c>
      <c r="P79" s="43">
        <f t="shared" si="32"/>
        <v>0</v>
      </c>
      <c r="Q79" s="44">
        <f t="shared" si="33"/>
        <v>0</v>
      </c>
      <c r="R79" s="44">
        <f t="shared" si="34"/>
        <v>0</v>
      </c>
      <c r="S79"/>
    </row>
    <row r="80" spans="1:19">
      <c r="A80" s="23">
        <v>69</v>
      </c>
      <c r="B80" s="43">
        <f t="shared" si="24"/>
        <v>0</v>
      </c>
      <c r="C80" s="123">
        <f t="shared" si="25"/>
        <v>0</v>
      </c>
      <c r="D80" s="43">
        <f t="shared" si="26"/>
        <v>0</v>
      </c>
      <c r="E80" s="44">
        <f t="shared" si="27"/>
        <v>0</v>
      </c>
      <c r="F80"/>
      <c r="H80" s="22" t="s">
        <v>25</v>
      </c>
      <c r="I80" s="43">
        <f t="shared" si="28"/>
        <v>0</v>
      </c>
      <c r="J80" s="43">
        <f t="shared" si="29"/>
        <v>0</v>
      </c>
      <c r="K80" s="68">
        <f t="shared" si="30"/>
        <v>0</v>
      </c>
      <c r="N80" s="9" t="s">
        <v>25</v>
      </c>
      <c r="O80" s="43">
        <f t="shared" si="31"/>
        <v>0</v>
      </c>
      <c r="P80" s="43">
        <f t="shared" si="32"/>
        <v>0</v>
      </c>
      <c r="Q80" s="44">
        <f t="shared" si="33"/>
        <v>0</v>
      </c>
      <c r="R80" s="44">
        <f t="shared" si="34"/>
        <v>0</v>
      </c>
      <c r="S80"/>
    </row>
    <row r="81" spans="1:19">
      <c r="A81" s="23">
        <v>70</v>
      </c>
      <c r="B81" s="43">
        <f t="shared" si="24"/>
        <v>0</v>
      </c>
      <c r="C81" s="123">
        <f t="shared" si="25"/>
        <v>0</v>
      </c>
      <c r="D81" s="43">
        <f t="shared" si="26"/>
        <v>0</v>
      </c>
      <c r="E81" s="44">
        <f t="shared" si="27"/>
        <v>0</v>
      </c>
      <c r="F81"/>
      <c r="H81" s="22" t="s">
        <v>26</v>
      </c>
      <c r="I81" s="43">
        <f t="shared" si="28"/>
        <v>0</v>
      </c>
      <c r="J81" s="43">
        <f t="shared" si="29"/>
        <v>0</v>
      </c>
      <c r="K81" s="68">
        <f t="shared" si="30"/>
        <v>0</v>
      </c>
      <c r="N81" s="9" t="s">
        <v>26</v>
      </c>
      <c r="O81" s="43">
        <f t="shared" si="31"/>
        <v>0</v>
      </c>
      <c r="P81" s="43">
        <f t="shared" si="32"/>
        <v>0</v>
      </c>
      <c r="Q81" s="44">
        <f t="shared" si="33"/>
        <v>0</v>
      </c>
      <c r="R81" s="44">
        <f t="shared" si="34"/>
        <v>0</v>
      </c>
      <c r="S81"/>
    </row>
    <row r="82" spans="1:19">
      <c r="A82" s="23">
        <v>71</v>
      </c>
      <c r="B82" s="43">
        <f t="shared" si="24"/>
        <v>0</v>
      </c>
      <c r="C82" s="123">
        <f t="shared" si="25"/>
        <v>0</v>
      </c>
      <c r="D82" s="43">
        <f t="shared" si="26"/>
        <v>0</v>
      </c>
      <c r="E82" s="44">
        <f t="shared" si="27"/>
        <v>0</v>
      </c>
      <c r="F82"/>
      <c r="H82" s="22" t="s">
        <v>27</v>
      </c>
      <c r="I82" s="43">
        <f t="shared" si="28"/>
        <v>0</v>
      </c>
      <c r="J82" s="43">
        <f t="shared" si="29"/>
        <v>0</v>
      </c>
      <c r="K82" s="68">
        <f t="shared" si="30"/>
        <v>0</v>
      </c>
      <c r="N82" s="9" t="s">
        <v>27</v>
      </c>
      <c r="O82" s="43">
        <f t="shared" si="31"/>
        <v>0</v>
      </c>
      <c r="P82" s="43">
        <f t="shared" si="32"/>
        <v>0</v>
      </c>
      <c r="Q82" s="44">
        <f t="shared" si="33"/>
        <v>0</v>
      </c>
      <c r="R82" s="44">
        <f t="shared" si="34"/>
        <v>0</v>
      </c>
      <c r="S82"/>
    </row>
    <row r="83" spans="1:19" ht="16.5" thickBot="1">
      <c r="A83" s="26">
        <v>72</v>
      </c>
      <c r="B83" s="48">
        <f t="shared" si="24"/>
        <v>0</v>
      </c>
      <c r="C83" s="138">
        <f t="shared" si="25"/>
        <v>0</v>
      </c>
      <c r="D83" s="48">
        <f t="shared" si="26"/>
        <v>0</v>
      </c>
      <c r="E83" s="49">
        <f t="shared" si="27"/>
        <v>0</v>
      </c>
      <c r="F83" s="243">
        <f>SUM(D72:D83)</f>
        <v>0</v>
      </c>
      <c r="H83" s="38" t="s">
        <v>28</v>
      </c>
      <c r="I83" s="48">
        <f t="shared" si="28"/>
        <v>0</v>
      </c>
      <c r="J83" s="48">
        <f t="shared" si="29"/>
        <v>0</v>
      </c>
      <c r="K83" s="79">
        <f t="shared" si="30"/>
        <v>0</v>
      </c>
      <c r="N83" s="36" t="s">
        <v>28</v>
      </c>
      <c r="O83" s="48">
        <f t="shared" si="31"/>
        <v>0</v>
      </c>
      <c r="P83" s="48">
        <f t="shared" si="32"/>
        <v>0</v>
      </c>
      <c r="Q83" s="49">
        <f t="shared" si="33"/>
        <v>0</v>
      </c>
      <c r="R83" s="49">
        <f t="shared" si="34"/>
        <v>0</v>
      </c>
      <c r="S83" s="1100">
        <f>SUM(Q72:Q83)</f>
        <v>0</v>
      </c>
    </row>
    <row r="84" spans="1:19" ht="16.5" thickTop="1"/>
  </sheetData>
  <sheetProtection formatColumns="0" formatRows="0"/>
  <mergeCells count="10">
    <mergeCell ref="G12:G23"/>
    <mergeCell ref="G60:G71"/>
    <mergeCell ref="G24:G35"/>
    <mergeCell ref="G36:G47"/>
    <mergeCell ref="G48:G59"/>
    <mergeCell ref="M60:M71"/>
    <mergeCell ref="M12:M23"/>
    <mergeCell ref="M24:M35"/>
    <mergeCell ref="M36:M47"/>
    <mergeCell ref="M48:M59"/>
  </mergeCells>
  <phoneticPr fontId="9" type="noConversion"/>
  <dataValidations xWindow="178" yWindow="332" count="3">
    <dataValidation allowBlank="1" showInputMessage="1" showErrorMessage="1" error="Solo valores enteros comprendidos entre 1 y 5" sqref="I6"/>
    <dataValidation type="whole" allowBlank="1" showInputMessage="1" showErrorMessage="1" prompt="12 - Pago mensual_x000a_  6 - Pago bimestral_x000a_  4 - Pago trimestral_x000a_  3 - Pago cuatrimestral_x000a_  2 - Pago semestral_x000a_  1 - Pago anual" sqref="B8">
      <formula1>1</formula1>
      <formula2>12</formula2>
    </dataValidation>
    <dataValidation type="decimal" allowBlank="1" showErrorMessage="1" sqref="B9">
      <formula1>0</formula1>
      <formula2>12</formula2>
    </dataValidation>
  </dataValidations>
  <printOptions horizontalCentered="1"/>
  <pageMargins left="0.78740157480314965" right="0.75" top="0.47244094488188981" bottom="0.15748031496062992" header="0" footer="0"/>
  <pageSetup paperSize="9" scale="44"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topLeftCell="H1" zoomScale="75" workbookViewId="0">
      <selection activeCell="T8" sqref="T8"/>
    </sheetView>
  </sheetViews>
  <sheetFormatPr baseColWidth="10" defaultColWidth="11.1640625" defaultRowHeight="15.75"/>
  <cols>
    <col min="1" max="1" width="24" style="9" customWidth="1"/>
    <col min="2" max="3" width="18.33203125" style="9" customWidth="1"/>
    <col min="4" max="4" width="20.1640625" style="9" bestFit="1" customWidth="1"/>
    <col min="5" max="5" width="21.83203125" style="9" customWidth="1"/>
    <col min="6" max="6" width="7" style="9" customWidth="1"/>
    <col min="7" max="7" width="3.83203125" style="9" customWidth="1"/>
    <col min="8" max="8" width="26.1640625" style="9" customWidth="1"/>
    <col min="9" max="9" width="18" style="9" customWidth="1"/>
    <col min="10" max="10" width="18.33203125" style="9" customWidth="1"/>
    <col min="11" max="11" width="20.83203125" style="9" customWidth="1"/>
    <col min="12" max="12" width="7" style="9" customWidth="1"/>
    <col min="13" max="13" width="3.83203125" style="9" customWidth="1"/>
    <col min="14" max="14" width="19.33203125" style="9" customWidth="1"/>
    <col min="15" max="16" width="18.33203125" style="9" customWidth="1"/>
    <col min="17" max="17" width="20.83203125" style="9" customWidth="1"/>
    <col min="18" max="18" width="21" style="9" customWidth="1"/>
    <col min="19" max="19" width="15" style="9" customWidth="1"/>
    <col min="20" max="20" width="16.33203125" style="9" customWidth="1"/>
    <col min="21" max="16384" width="11.1640625" style="9"/>
  </cols>
  <sheetData>
    <row r="1" spans="1:21" ht="39.950000000000003" customHeight="1" thickBot="1">
      <c r="A1" s="8" t="s">
        <v>123</v>
      </c>
      <c r="D1" s="96"/>
      <c r="E1" s="96"/>
      <c r="F1" s="96"/>
    </row>
    <row r="2" spans="1:21" ht="39.950000000000003" customHeight="1" thickTop="1" thickBot="1">
      <c r="A2" s="39"/>
      <c r="N2" s="17" t="s">
        <v>68</v>
      </c>
      <c r="O2" s="31" t="s">
        <v>14</v>
      </c>
      <c r="P2" s="31" t="s">
        <v>66</v>
      </c>
      <c r="Q2" s="33" t="s">
        <v>67</v>
      </c>
      <c r="R2" s="32" t="s">
        <v>15</v>
      </c>
      <c r="S2" s="242" t="s">
        <v>419</v>
      </c>
      <c r="T2" s="242" t="s">
        <v>420</v>
      </c>
      <c r="U2"/>
    </row>
    <row r="3" spans="1:21" ht="20.100000000000001" customHeight="1" thickTop="1">
      <c r="A3" s="8" t="s">
        <v>98</v>
      </c>
      <c r="G3" s="39"/>
      <c r="N3" s="27">
        <f>Año_comienzo_Plan</f>
        <v>0</v>
      </c>
      <c r="O3" s="41">
        <f>SUM(O12:O23)</f>
        <v>0</v>
      </c>
      <c r="P3" s="41">
        <f>SUM(P12:P23)</f>
        <v>0</v>
      </c>
      <c r="Q3" s="41">
        <f>SUM(Q12:Q23)</f>
        <v>0</v>
      </c>
      <c r="R3" s="44">
        <f>IF($I$6=1,$B$5-Q3,0)</f>
        <v>0</v>
      </c>
      <c r="S3" s="1101">
        <f>IF($R$23=0,0,$R$23-$S$35)</f>
        <v>0</v>
      </c>
      <c r="T3" s="1101">
        <f>$S$35</f>
        <v>0</v>
      </c>
      <c r="U3" s="246">
        <f t="shared" ref="U3:U8" si="0">SUM(S3:T3)</f>
        <v>0</v>
      </c>
    </row>
    <row r="4" spans="1:21" ht="20.100000000000001" customHeight="1" thickBot="1">
      <c r="N4" s="28">
        <f>N3+1</f>
        <v>1</v>
      </c>
      <c r="O4" s="43">
        <f>SUM(O24:O35)</f>
        <v>0</v>
      </c>
      <c r="P4" s="43">
        <f>SUM(P24:P35)</f>
        <v>0</v>
      </c>
      <c r="Q4" s="43">
        <f>SUM(Q24:Q35)</f>
        <v>0</v>
      </c>
      <c r="R4" s="44">
        <f>IF($I$6=1,$B$5-(Q3+Q4),IF($I$6=2,$B$5-Q4,0))</f>
        <v>0</v>
      </c>
      <c r="S4" s="1101">
        <f>IF($R$35=0,0,$R$35-$S$47)</f>
        <v>0</v>
      </c>
      <c r="T4" s="1101">
        <f>$S$47</f>
        <v>0</v>
      </c>
      <c r="U4" s="246">
        <f t="shared" si="0"/>
        <v>0</v>
      </c>
    </row>
    <row r="5" spans="1:21" ht="20.100000000000001" customHeight="1" thickTop="1" thickBot="1">
      <c r="A5" s="10" t="s">
        <v>54</v>
      </c>
      <c r="B5" s="124">
        <f>'(0) 3b. Préstam Financ.'!J17</f>
        <v>0</v>
      </c>
      <c r="C5" s="96"/>
      <c r="N5" s="28">
        <f>N3+2</f>
        <v>2</v>
      </c>
      <c r="O5" s="43">
        <f>SUM(O36:O47)</f>
        <v>0</v>
      </c>
      <c r="P5" s="43">
        <f>SUM(P36:P47)</f>
        <v>0</v>
      </c>
      <c r="Q5" s="43">
        <f>SUM(Q36:Q47)</f>
        <v>0</v>
      </c>
      <c r="R5" s="44">
        <f>IF($I$6=1,$B$5-(Q3+Q4+Q5),IF($I$6=2,$B$5-(Q4+Q5),IF($I$6=3,$B$5-(Q5),0)))</f>
        <v>0</v>
      </c>
      <c r="S5" s="1101">
        <f>IF($R$47=0,0,$R$47-$S$59)</f>
        <v>0</v>
      </c>
      <c r="T5" s="1101">
        <f>$S$59</f>
        <v>0</v>
      </c>
      <c r="U5" s="246">
        <f t="shared" si="0"/>
        <v>0</v>
      </c>
    </row>
    <row r="6" spans="1:21" ht="20.100000000000001" customHeight="1" thickBot="1">
      <c r="A6" s="11" t="s">
        <v>9</v>
      </c>
      <c r="B6" s="125">
        <f>'(0) 3b. Préstam Financ.'!J18</f>
        <v>0.05</v>
      </c>
      <c r="C6" s="96"/>
      <c r="D6" s="106"/>
      <c r="E6" s="12" t="s">
        <v>70</v>
      </c>
      <c r="F6" s="13"/>
      <c r="G6" s="14"/>
      <c r="H6" s="14"/>
      <c r="I6" s="129" t="str">
        <f>IF('(0) 3b. Préstam Financ.'!J17&gt;0,1,"")</f>
        <v/>
      </c>
      <c r="J6" s="15" t="s">
        <v>75</v>
      </c>
      <c r="N6" s="28">
        <f>N3+3</f>
        <v>3</v>
      </c>
      <c r="O6" s="43">
        <f>SUM(O48:O59)</f>
        <v>0</v>
      </c>
      <c r="P6" s="43">
        <f>IF(SUM(P48:P59)&lt;&gt;0,SUM(P48:P59),0)</f>
        <v>0</v>
      </c>
      <c r="Q6" s="43">
        <f>SUM(Q48:Q59)</f>
        <v>0</v>
      </c>
      <c r="R6" s="44">
        <f>IF($I$6=1,$B$5-(Q3+Q4+Q5+Q6),IF($I$6=2,$B$5-(Q4+Q5+Q6),IF($I$6=3,$B$5-(Q5+Q6),IF($I$6=4,$B$5-Q6,0))))</f>
        <v>0</v>
      </c>
      <c r="S6" s="1101">
        <f>IF($R$59=0,0,$R$59-$S$71)</f>
        <v>0</v>
      </c>
      <c r="T6" s="1101">
        <f>$S$71</f>
        <v>0</v>
      </c>
      <c r="U6" s="246">
        <f t="shared" si="0"/>
        <v>0</v>
      </c>
    </row>
    <row r="7" spans="1:21" ht="20.100000000000001" customHeight="1" thickBot="1">
      <c r="A7" s="11" t="s">
        <v>10</v>
      </c>
      <c r="B7" s="126">
        <f>'(0) 3b. Préstam Financ.'!J19</f>
        <v>5</v>
      </c>
      <c r="C7" s="96"/>
      <c r="N7" s="29">
        <f>N3+4</f>
        <v>4</v>
      </c>
      <c r="O7" s="48">
        <f>SUM(O60:O71)</f>
        <v>0</v>
      </c>
      <c r="P7" s="48">
        <f>SUM(P60:P71)</f>
        <v>0</v>
      </c>
      <c r="Q7" s="48">
        <f>SUM(Q60:Q71)</f>
        <v>0</v>
      </c>
      <c r="R7" s="49">
        <f>IF($I$6=1,$B$5-(Q3+Q4+Q5+Q6+Q7),IF($I$6=2,$B$5-(Q4+Q5+Q6+Q7),IF($I$6=3,$B$5-(Q5+Q6+Q7),IF($I$6=4,$B$5-(Q6+Q7),IF($I$6=5,$B$5-Q7,0)))))</f>
        <v>0</v>
      </c>
      <c r="S7" s="1101">
        <f>IF($R$71=0,0,$R$71-$S$83)</f>
        <v>0</v>
      </c>
      <c r="T7" s="1101">
        <f>$S$83</f>
        <v>0</v>
      </c>
      <c r="U7" s="246">
        <f t="shared" si="0"/>
        <v>0</v>
      </c>
    </row>
    <row r="8" spans="1:21" ht="20.100000000000001" customHeight="1" thickTop="1" thickBot="1">
      <c r="A8" s="11" t="s">
        <v>12</v>
      </c>
      <c r="B8" s="126">
        <f>'(0) 3b. Préstam Financ.'!J20</f>
        <v>12</v>
      </c>
      <c r="C8" s="96"/>
      <c r="N8" s="29">
        <f>N4+4</f>
        <v>5</v>
      </c>
      <c r="O8" s="48">
        <f>SUM(O72:O83)</f>
        <v>0</v>
      </c>
      <c r="P8" s="48">
        <f>SUM(P72:P83)</f>
        <v>0</v>
      </c>
      <c r="Q8" s="48">
        <f>SUM(Q72:Q83)</f>
        <v>0</v>
      </c>
      <c r="R8" s="49">
        <f>IF($I$6=1,$B$5-(Q3+Q4+Q5+Q6+Q7+Q8),IF($I$6=2,$B$5-(Q4+Q5+Q6+Q7+Q8),IF($I$6=3,$B$5-(Q5+Q6+Q7+Q8),IF($I$6=4,$B$5-(Q6+Q7+Q8),IF($I$6=5,$B$5-(Q7+Q8),IF($I$6=6,$B$5-(Q8),0))))))</f>
        <v>0</v>
      </c>
      <c r="S8" s="244"/>
      <c r="T8" s="244"/>
      <c r="U8" s="246">
        <f t="shared" si="0"/>
        <v>0</v>
      </c>
    </row>
    <row r="9" spans="1:21" ht="20.100000000000001" customHeight="1" thickTop="1" thickBot="1">
      <c r="A9" s="16"/>
      <c r="B9" s="127"/>
      <c r="C9" s="96"/>
      <c r="D9" s="108" t="s">
        <v>82</v>
      </c>
      <c r="E9" s="231">
        <f>'(0) 3b. Préstam Financ.'!J22*0</f>
        <v>0</v>
      </c>
      <c r="H9" s="108" t="s">
        <v>97</v>
      </c>
      <c r="I9" s="128">
        <f>'(0) 3b. Préstam Financ.'!J21</f>
        <v>0</v>
      </c>
    </row>
    <row r="10" spans="1:21" ht="20.100000000000001" customHeight="1" thickTop="1" thickBot="1">
      <c r="R10" s="1098"/>
      <c r="S10" s="1098"/>
    </row>
    <row r="11" spans="1:21" ht="33" customHeight="1" thickTop="1" thickBot="1">
      <c r="A11" s="17" t="s">
        <v>13</v>
      </c>
      <c r="B11" s="31" t="s">
        <v>14</v>
      </c>
      <c r="C11" s="18" t="s">
        <v>11</v>
      </c>
      <c r="D11" s="18" t="s">
        <v>6</v>
      </c>
      <c r="E11" s="19" t="s">
        <v>15</v>
      </c>
      <c r="F11" s="64"/>
      <c r="H11" s="17" t="s">
        <v>42</v>
      </c>
      <c r="I11" s="31" t="s">
        <v>14</v>
      </c>
      <c r="J11" s="31" t="s">
        <v>66</v>
      </c>
      <c r="K11" s="32" t="s">
        <v>67</v>
      </c>
      <c r="L11" s="20"/>
      <c r="M11" s="30"/>
      <c r="N11" s="17" t="s">
        <v>42</v>
      </c>
      <c r="O11" s="31" t="s">
        <v>14</v>
      </c>
      <c r="P11" s="31" t="s">
        <v>66</v>
      </c>
      <c r="Q11" s="32" t="s">
        <v>67</v>
      </c>
      <c r="R11" s="1099" t="s">
        <v>15</v>
      </c>
    </row>
    <row r="12" spans="1:21" ht="15.75" customHeight="1" thickTop="1">
      <c r="A12" s="21">
        <v>1</v>
      </c>
      <c r="B12" s="43">
        <f t="shared" ref="B12:B71" si="1">IF(A12&gt;$I$9,IF(E11&gt;1,PMT($B$6/$B$8,$B$7*$B$8,-$B$5),0),0)</f>
        <v>0</v>
      </c>
      <c r="C12" s="122">
        <f>IF(B12&gt;0,B12-D12,E12*($B$6/$B$8))+E9</f>
        <v>0</v>
      </c>
      <c r="D12" s="41">
        <f>IF(A12&gt;$I$9,B12-($B$5*($B$6/$B$8)),0)</f>
        <v>0</v>
      </c>
      <c r="E12" s="67">
        <f>$B$5-D12</f>
        <v>0</v>
      </c>
      <c r="F12" s="51"/>
      <c r="G12" s="4194">
        <f>IF($B$5=0,$N$3,IF(O3&gt;0,N3,IF(O4&gt;0,N4,IF(O5&gt;0,N5,IF(O6&gt;0,N6,N7)))))</f>
        <v>0</v>
      </c>
      <c r="H12" s="34" t="s">
        <v>17</v>
      </c>
      <c r="I12" s="41">
        <f>$B$12</f>
        <v>0</v>
      </c>
      <c r="J12" s="41">
        <f>C12</f>
        <v>0</v>
      </c>
      <c r="K12" s="67">
        <f>D12</f>
        <v>0</v>
      </c>
      <c r="M12" s="4194">
        <f>'1.Datos Básicos. Product-Serv'!B7</f>
        <v>0</v>
      </c>
      <c r="N12" s="34" t="s">
        <v>17</v>
      </c>
      <c r="O12" s="41">
        <f t="shared" ref="O12:Q23" si="2">IF($I$6=1,I12,0)</f>
        <v>0</v>
      </c>
      <c r="P12" s="41">
        <f t="shared" si="2"/>
        <v>0</v>
      </c>
      <c r="Q12" s="42">
        <f t="shared" si="2"/>
        <v>0</v>
      </c>
      <c r="R12" s="67">
        <f>$B$5-Q12</f>
        <v>0</v>
      </c>
      <c r="S12" s="51"/>
    </row>
    <row r="13" spans="1:21" ht="15.75" customHeight="1">
      <c r="A13" s="23">
        <v>2</v>
      </c>
      <c r="B13" s="43">
        <f t="shared" si="1"/>
        <v>0</v>
      </c>
      <c r="C13" s="123">
        <f t="shared" ref="C13:C71" si="3">IF(B13&gt;0,B13-D13,E13*($B$6/$B$8))</f>
        <v>0</v>
      </c>
      <c r="D13" s="43">
        <f t="shared" ref="D13:D71" si="4">IF(A13&gt;$I$9,B13-(E12*($B$6/$B$8)),0)</f>
        <v>0</v>
      </c>
      <c r="E13" s="68">
        <f t="shared" ref="E13:E71" si="5">IF((E12-D13)&gt;0,E12-D13,0)</f>
        <v>0</v>
      </c>
      <c r="F13" s="51"/>
      <c r="G13" s="4195"/>
      <c r="H13" s="9" t="s">
        <v>18</v>
      </c>
      <c r="I13" s="43">
        <f>IF($B$8=12,B13,0)</f>
        <v>0</v>
      </c>
      <c r="J13" s="43">
        <f>IF($B$8=12,C13,0)</f>
        <v>0</v>
      </c>
      <c r="K13" s="68">
        <f>IF($B$8=12,D13,0)</f>
        <v>0</v>
      </c>
      <c r="M13" s="4195"/>
      <c r="N13" s="9" t="s">
        <v>18</v>
      </c>
      <c r="O13" s="43">
        <f t="shared" si="2"/>
        <v>0</v>
      </c>
      <c r="P13" s="43">
        <f t="shared" si="2"/>
        <v>0</v>
      </c>
      <c r="Q13" s="44">
        <f t="shared" si="2"/>
        <v>0</v>
      </c>
      <c r="R13" s="68">
        <f>IF((R12-Q13)&gt;0,R12-Q13,0)</f>
        <v>0</v>
      </c>
      <c r="S13" s="51"/>
    </row>
    <row r="14" spans="1:21" ht="15.75" customHeight="1">
      <c r="A14" s="23">
        <v>3</v>
      </c>
      <c r="B14" s="43">
        <f t="shared" si="1"/>
        <v>0</v>
      </c>
      <c r="C14" s="123">
        <f t="shared" si="3"/>
        <v>0</v>
      </c>
      <c r="D14" s="43">
        <f t="shared" si="4"/>
        <v>0</v>
      </c>
      <c r="E14" s="68">
        <f t="shared" si="5"/>
        <v>0</v>
      </c>
      <c r="F14" s="51"/>
      <c r="G14" s="4195"/>
      <c r="H14" s="9" t="s">
        <v>19</v>
      </c>
      <c r="I14" s="43">
        <f>IF($B$8=12,B14,IF($B$8=6,B13,0))</f>
        <v>0</v>
      </c>
      <c r="J14" s="43">
        <f>IF($B$8=12,C14,IF($B$8=6,C13,0))</f>
        <v>0</v>
      </c>
      <c r="K14" s="68">
        <f>IF($B$8=12,D14,IF($B$8=6,D13,0))</f>
        <v>0</v>
      </c>
      <c r="M14" s="4195"/>
      <c r="N14" s="9" t="s">
        <v>19</v>
      </c>
      <c r="O14" s="43">
        <f t="shared" si="2"/>
        <v>0</v>
      </c>
      <c r="P14" s="43">
        <f t="shared" si="2"/>
        <v>0</v>
      </c>
      <c r="Q14" s="44">
        <f t="shared" si="2"/>
        <v>0</v>
      </c>
      <c r="R14" s="68">
        <f t="shared" ref="R14:R77" si="6">IF((R13-Q14)&gt;0,R13-Q14,0)</f>
        <v>0</v>
      </c>
      <c r="S14" s="51"/>
    </row>
    <row r="15" spans="1:21" ht="15.75" customHeight="1">
      <c r="A15" s="23">
        <v>4</v>
      </c>
      <c r="B15" s="43">
        <f t="shared" si="1"/>
        <v>0</v>
      </c>
      <c r="C15" s="123">
        <f t="shared" si="3"/>
        <v>0</v>
      </c>
      <c r="D15" s="43">
        <f t="shared" si="4"/>
        <v>0</v>
      </c>
      <c r="E15" s="68">
        <f t="shared" si="5"/>
        <v>0</v>
      </c>
      <c r="F15" s="51"/>
      <c r="G15" s="4195"/>
      <c r="H15" s="9" t="s">
        <v>20</v>
      </c>
      <c r="I15" s="43">
        <f>IF($B$8=12,B15,IF($B$8=4,B13,IF($B$8=6,0,IF($B$8=3,0,0))))</f>
        <v>0</v>
      </c>
      <c r="J15" s="43">
        <f>IF($B$8=12,C15,IF($B$8=4,C13,IF($B$8=6,0,IF($B$8=3,0,0))))</f>
        <v>0</v>
      </c>
      <c r="K15" s="68">
        <f>IF($B$8=12,D15,IF($B$8=4,D13,IF($B$8=6,0,IF($B$8=3,0,0))))</f>
        <v>0</v>
      </c>
      <c r="M15" s="4195"/>
      <c r="N15" s="9" t="s">
        <v>20</v>
      </c>
      <c r="O15" s="43">
        <f t="shared" si="2"/>
        <v>0</v>
      </c>
      <c r="P15" s="43">
        <f t="shared" si="2"/>
        <v>0</v>
      </c>
      <c r="Q15" s="44">
        <f t="shared" si="2"/>
        <v>0</v>
      </c>
      <c r="R15" s="68">
        <f t="shared" si="6"/>
        <v>0</v>
      </c>
      <c r="S15" s="51"/>
    </row>
    <row r="16" spans="1:21" ht="15.75" customHeight="1">
      <c r="A16" s="23">
        <v>5</v>
      </c>
      <c r="B16" s="43">
        <f t="shared" si="1"/>
        <v>0</v>
      </c>
      <c r="C16" s="123">
        <f t="shared" si="3"/>
        <v>0</v>
      </c>
      <c r="D16" s="43">
        <f t="shared" si="4"/>
        <v>0</v>
      </c>
      <c r="E16" s="68">
        <f t="shared" si="5"/>
        <v>0</v>
      </c>
      <c r="F16" s="51"/>
      <c r="G16" s="4195"/>
      <c r="H16" s="9" t="s">
        <v>21</v>
      </c>
      <c r="I16" s="43">
        <f>IF($B$8=12,B16,IF($B$8=4,0,IF($B$8=6,B14,IF($B$8=3,B13,0))))</f>
        <v>0</v>
      </c>
      <c r="J16" s="43">
        <f>IF($B$8=12,C16,IF($B$8=4,0,IF($B$8=6,C14,IF($B$8=3,C13,0))))</f>
        <v>0</v>
      </c>
      <c r="K16" s="68">
        <f>IF($B$8=12,D16,IF($B$8=4,0,IF($B$8=6,D14,IF($B$8=3,D13,0))))</f>
        <v>0</v>
      </c>
      <c r="M16" s="4195"/>
      <c r="N16" s="9" t="s">
        <v>21</v>
      </c>
      <c r="O16" s="43">
        <f t="shared" si="2"/>
        <v>0</v>
      </c>
      <c r="P16" s="43">
        <f t="shared" si="2"/>
        <v>0</v>
      </c>
      <c r="Q16" s="44">
        <f t="shared" si="2"/>
        <v>0</v>
      </c>
      <c r="R16" s="68">
        <f t="shared" si="6"/>
        <v>0</v>
      </c>
      <c r="S16" s="51"/>
    </row>
    <row r="17" spans="1:19" ht="15.75" customHeight="1">
      <c r="A17" s="23">
        <v>6</v>
      </c>
      <c r="B17" s="43">
        <f t="shared" si="1"/>
        <v>0</v>
      </c>
      <c r="C17" s="123">
        <f t="shared" si="3"/>
        <v>0</v>
      </c>
      <c r="D17" s="43">
        <f t="shared" si="4"/>
        <v>0</v>
      </c>
      <c r="E17" s="68">
        <f t="shared" si="5"/>
        <v>0</v>
      </c>
      <c r="F17" s="51"/>
      <c r="G17" s="4195"/>
      <c r="H17" s="9" t="s">
        <v>22</v>
      </c>
      <c r="I17" s="43">
        <f>IF($B$8=12,B17,IF($B$8=4,0,IF($B$8=6,0,IF($B$8=3,0,0))))</f>
        <v>0</v>
      </c>
      <c r="J17" s="43">
        <f>IF($B$8=12,C17,IF($B$8=4,0,IF($B$8=6,0,IF($B$8=3,0,0))))</f>
        <v>0</v>
      </c>
      <c r="K17" s="68">
        <f>IF($B$8=12,D17,IF($B$8=4,0,IF($B$8=6,0,IF($B$8=3,0,0))))</f>
        <v>0</v>
      </c>
      <c r="M17" s="4195"/>
      <c r="N17" s="9" t="s">
        <v>22</v>
      </c>
      <c r="O17" s="43">
        <f t="shared" si="2"/>
        <v>0</v>
      </c>
      <c r="P17" s="43">
        <f t="shared" si="2"/>
        <v>0</v>
      </c>
      <c r="Q17" s="44">
        <f t="shared" si="2"/>
        <v>0</v>
      </c>
      <c r="R17" s="68">
        <f t="shared" si="6"/>
        <v>0</v>
      </c>
      <c r="S17" s="51"/>
    </row>
    <row r="18" spans="1:19" ht="15.75" customHeight="1">
      <c r="A18" s="23">
        <v>7</v>
      </c>
      <c r="B18" s="43">
        <f t="shared" si="1"/>
        <v>0</v>
      </c>
      <c r="C18" s="123">
        <f t="shared" si="3"/>
        <v>0</v>
      </c>
      <c r="D18" s="43">
        <f t="shared" si="4"/>
        <v>0</v>
      </c>
      <c r="E18" s="68">
        <f t="shared" si="5"/>
        <v>0</v>
      </c>
      <c r="F18" s="51"/>
      <c r="G18" s="4195"/>
      <c r="H18" s="9" t="s">
        <v>23</v>
      </c>
      <c r="I18" s="43">
        <f>IF($B$8=12,B18,IF($B$8=4,B14,IF($B$8=6,B15,IF($B$8=3,0,IF($B$8=2,B13,0)))))</f>
        <v>0</v>
      </c>
      <c r="J18" s="43">
        <f>IF($B$8=12,C18,IF($B$8=4,C14,IF($B$8=6,C15,IF($B$8=3,0,IF($B$8=2,C13,0)))))</f>
        <v>0</v>
      </c>
      <c r="K18" s="68">
        <f>IF($B$8=12,D18,IF($B$8=4,D14,IF($B$8=6,D15,IF($B$8=3,0,IF($B$8=2,D13,0)))))</f>
        <v>0</v>
      </c>
      <c r="M18" s="4195"/>
      <c r="N18" s="9" t="s">
        <v>23</v>
      </c>
      <c r="O18" s="43">
        <f t="shared" si="2"/>
        <v>0</v>
      </c>
      <c r="P18" s="43">
        <f t="shared" si="2"/>
        <v>0</v>
      </c>
      <c r="Q18" s="44">
        <f t="shared" si="2"/>
        <v>0</v>
      </c>
      <c r="R18" s="68">
        <f t="shared" si="6"/>
        <v>0</v>
      </c>
      <c r="S18" s="51"/>
    </row>
    <row r="19" spans="1:19" ht="15.75" customHeight="1">
      <c r="A19" s="23">
        <v>8</v>
      </c>
      <c r="B19" s="43">
        <f t="shared" si="1"/>
        <v>0</v>
      </c>
      <c r="C19" s="123">
        <f t="shared" si="3"/>
        <v>0</v>
      </c>
      <c r="D19" s="43">
        <f t="shared" si="4"/>
        <v>0</v>
      </c>
      <c r="E19" s="68">
        <f t="shared" si="5"/>
        <v>0</v>
      </c>
      <c r="F19" s="51"/>
      <c r="G19" s="4195"/>
      <c r="H19" s="9" t="s">
        <v>24</v>
      </c>
      <c r="I19" s="43">
        <f>IF($B$8=12,B19,IF($B$8=4,0,IF($B$8=6,0,IF($B$8=3,0,0))))</f>
        <v>0</v>
      </c>
      <c r="J19" s="43">
        <f>IF($B$8=12,C19,IF($B$8=4,0,IF($B$8=6,0,IF($B$8=3,0,0))))</f>
        <v>0</v>
      </c>
      <c r="K19" s="68">
        <f>IF($B$8=12,D19,IF($B$8=4,0,IF($B$8=6,0,IF($B$8=3,0,0))))</f>
        <v>0</v>
      </c>
      <c r="M19" s="4195"/>
      <c r="N19" s="9" t="s">
        <v>24</v>
      </c>
      <c r="O19" s="43">
        <f t="shared" si="2"/>
        <v>0</v>
      </c>
      <c r="P19" s="43">
        <f t="shared" si="2"/>
        <v>0</v>
      </c>
      <c r="Q19" s="44">
        <f t="shared" si="2"/>
        <v>0</v>
      </c>
      <c r="R19" s="68">
        <f t="shared" si="6"/>
        <v>0</v>
      </c>
      <c r="S19" s="51"/>
    </row>
    <row r="20" spans="1:19" ht="15.75" customHeight="1">
      <c r="A20" s="23">
        <v>9</v>
      </c>
      <c r="B20" s="43">
        <f t="shared" si="1"/>
        <v>0</v>
      </c>
      <c r="C20" s="123">
        <f t="shared" si="3"/>
        <v>0</v>
      </c>
      <c r="D20" s="43">
        <f t="shared" si="4"/>
        <v>0</v>
      </c>
      <c r="E20" s="68">
        <f t="shared" si="5"/>
        <v>0</v>
      </c>
      <c r="F20" s="51"/>
      <c r="G20" s="4195"/>
      <c r="H20" s="9" t="s">
        <v>25</v>
      </c>
      <c r="I20" s="43">
        <f>IF($B$8=12,B20,IF($B$8=4,0,IF($B$8=6,B16,IF($B$8=3,B14,0))))</f>
        <v>0</v>
      </c>
      <c r="J20" s="43">
        <f>IF($B$8=12,C20,IF($B$8=4,0,IF($B$8=6,C16,IF($B$8=3,C14,0))))</f>
        <v>0</v>
      </c>
      <c r="K20" s="68">
        <f>IF($B$8=12,D20,IF($B$8=4,0,IF($B$8=6,D16,IF($B$8=3,D14,0))))</f>
        <v>0</v>
      </c>
      <c r="M20" s="4195"/>
      <c r="N20" s="9" t="s">
        <v>25</v>
      </c>
      <c r="O20" s="43">
        <f t="shared" si="2"/>
        <v>0</v>
      </c>
      <c r="P20" s="43">
        <f t="shared" si="2"/>
        <v>0</v>
      </c>
      <c r="Q20" s="44">
        <f t="shared" si="2"/>
        <v>0</v>
      </c>
      <c r="R20" s="68">
        <f t="shared" si="6"/>
        <v>0</v>
      </c>
      <c r="S20" s="51"/>
    </row>
    <row r="21" spans="1:19" ht="15.75" customHeight="1">
      <c r="A21" s="23">
        <v>10</v>
      </c>
      <c r="B21" s="43">
        <f t="shared" si="1"/>
        <v>0</v>
      </c>
      <c r="C21" s="123">
        <f t="shared" si="3"/>
        <v>0</v>
      </c>
      <c r="D21" s="43">
        <f t="shared" si="4"/>
        <v>0</v>
      </c>
      <c r="E21" s="68">
        <f t="shared" si="5"/>
        <v>0</v>
      </c>
      <c r="F21" s="51"/>
      <c r="G21" s="4195"/>
      <c r="H21" s="9" t="s">
        <v>26</v>
      </c>
      <c r="I21" s="43">
        <f>IF($B$8=12,B21,IF($B$8=4,B15,IF($B$8=6,0,IF($B$8=3,0,0))))</f>
        <v>0</v>
      </c>
      <c r="J21" s="43">
        <f>IF($B$8=12,C21,IF($B$8=4,C15,IF($B$8=6,0,IF($B$8=3,0,0))))</f>
        <v>0</v>
      </c>
      <c r="K21" s="68">
        <f>IF($B$8=12,D21,IF($B$8=4,D15,IF($B$8=6,0,IF($B$8=3,0,0))))</f>
        <v>0</v>
      </c>
      <c r="M21" s="4195"/>
      <c r="N21" s="9" t="s">
        <v>26</v>
      </c>
      <c r="O21" s="43">
        <f t="shared" si="2"/>
        <v>0</v>
      </c>
      <c r="P21" s="43">
        <f t="shared" si="2"/>
        <v>0</v>
      </c>
      <c r="Q21" s="44">
        <f t="shared" si="2"/>
        <v>0</v>
      </c>
      <c r="R21" s="68">
        <f t="shared" si="6"/>
        <v>0</v>
      </c>
      <c r="S21" s="51"/>
    </row>
    <row r="22" spans="1:19" ht="15.75" customHeight="1">
      <c r="A22" s="23">
        <v>11</v>
      </c>
      <c r="B22" s="43">
        <f t="shared" si="1"/>
        <v>0</v>
      </c>
      <c r="C22" s="123">
        <f t="shared" si="3"/>
        <v>0</v>
      </c>
      <c r="D22" s="43">
        <f t="shared" si="4"/>
        <v>0</v>
      </c>
      <c r="E22" s="68">
        <f t="shared" si="5"/>
        <v>0</v>
      </c>
      <c r="F22" s="51"/>
      <c r="G22" s="4195"/>
      <c r="H22" s="9" t="s">
        <v>27</v>
      </c>
      <c r="I22" s="43">
        <f>IF($B$8=12,B22,IF($B$8=4,0,IF($B$8=6,B17,IF($B$8=3,0,0))))</f>
        <v>0</v>
      </c>
      <c r="J22" s="43">
        <f>IF($B$8=12,C22,IF($B$8=4,0,IF($B$8=6,C17,IF($B$8=3,0,0))))</f>
        <v>0</v>
      </c>
      <c r="K22" s="68">
        <f>IF($B$8=12,D22,IF($B$8=4,0,IF($B$8=6,D17,IF($B$8=3,0,0))))</f>
        <v>0</v>
      </c>
      <c r="M22" s="4195"/>
      <c r="N22" s="9" t="s">
        <v>27</v>
      </c>
      <c r="O22" s="43">
        <f t="shared" si="2"/>
        <v>0</v>
      </c>
      <c r="P22" s="43">
        <f t="shared" si="2"/>
        <v>0</v>
      </c>
      <c r="Q22" s="44">
        <f t="shared" si="2"/>
        <v>0</v>
      </c>
      <c r="R22" s="68">
        <f t="shared" si="6"/>
        <v>0</v>
      </c>
      <c r="S22" s="51"/>
    </row>
    <row r="23" spans="1:19" ht="15.75" customHeight="1" thickBot="1">
      <c r="A23" s="24">
        <v>12</v>
      </c>
      <c r="B23" s="70">
        <f t="shared" si="1"/>
        <v>0</v>
      </c>
      <c r="C23" s="139">
        <f t="shared" si="3"/>
        <v>0</v>
      </c>
      <c r="D23" s="70">
        <f t="shared" si="4"/>
        <v>0</v>
      </c>
      <c r="E23" s="75">
        <f t="shared" si="5"/>
        <v>0</v>
      </c>
      <c r="F23" s="243">
        <f>SUM(D12:D23)</f>
        <v>0</v>
      </c>
      <c r="G23" s="4196"/>
      <c r="H23" s="37" t="s">
        <v>28</v>
      </c>
      <c r="I23" s="70">
        <f>IF($B$8=12,B23,IF($B$8=4,0,IF($B$8=6,0,IF($B$8=3,0,0))))</f>
        <v>0</v>
      </c>
      <c r="J23" s="70">
        <f>IF($B$8=12,C23,IF($B$8=4,0,IF($B$8=6,0,IF($B$8=3,0,0))))</f>
        <v>0</v>
      </c>
      <c r="K23" s="72">
        <f>IF($B$8=12,D23,IF($B$8=4,0,IF($B$8=6,0,IF($B$8=3,0,0))))</f>
        <v>0</v>
      </c>
      <c r="M23" s="4196"/>
      <c r="N23" s="35" t="s">
        <v>28</v>
      </c>
      <c r="O23" s="45">
        <f t="shared" si="2"/>
        <v>0</v>
      </c>
      <c r="P23" s="45">
        <f t="shared" si="2"/>
        <v>0</v>
      </c>
      <c r="Q23" s="46">
        <f t="shared" si="2"/>
        <v>0</v>
      </c>
      <c r="R23" s="75">
        <f t="shared" si="6"/>
        <v>0</v>
      </c>
      <c r="S23" s="1100">
        <f>SUM(Q12:Q23)</f>
        <v>0</v>
      </c>
    </row>
    <row r="24" spans="1:19" ht="15.75" customHeight="1">
      <c r="A24" s="23">
        <v>13</v>
      </c>
      <c r="B24" s="43">
        <f t="shared" si="1"/>
        <v>0</v>
      </c>
      <c r="C24" s="123">
        <f t="shared" si="3"/>
        <v>0</v>
      </c>
      <c r="D24" s="43">
        <f t="shared" si="4"/>
        <v>0</v>
      </c>
      <c r="E24" s="68">
        <f t="shared" si="5"/>
        <v>0</v>
      </c>
      <c r="F24" s="51"/>
      <c r="G24" s="4194">
        <f>G12+1</f>
        <v>1</v>
      </c>
      <c r="H24" s="22" t="s">
        <v>17</v>
      </c>
      <c r="I24" s="43">
        <f>IF($B$8=12,B24,IF($B$8=4,B16,IF($B$8=6,B18,IF($B$8=3,B15,IF($B$8=2,B14,IF($B$8,B13,0))))))</f>
        <v>0</v>
      </c>
      <c r="J24" s="43">
        <f>IF($B$8=12,C24,IF($B$8=4,C16,IF($B$8=6,C18,IF($B$8=3,C15,IF($B$8=2,C14,IF($B$8,C13,0))))))</f>
        <v>0</v>
      </c>
      <c r="K24" s="68">
        <f>IF($B$8=12,D24,IF($B$8=4,D16,IF($B$8=6,D18,IF($B$8=3,D15,IF($B$8=2,D14,IF($B$8,D13,0))))))</f>
        <v>0</v>
      </c>
      <c r="M24" s="4194">
        <f>M12+1</f>
        <v>1</v>
      </c>
      <c r="N24" s="9" t="s">
        <v>17</v>
      </c>
      <c r="O24" s="43">
        <f t="shared" ref="O24:Q35" si="7">IF($I$6=2,I12,IF($I$6=1,I24,0))</f>
        <v>0</v>
      </c>
      <c r="P24" s="43">
        <f t="shared" si="7"/>
        <v>0</v>
      </c>
      <c r="Q24" s="44">
        <f t="shared" si="7"/>
        <v>0</v>
      </c>
      <c r="R24" s="68">
        <f t="shared" si="6"/>
        <v>0</v>
      </c>
      <c r="S24" s="51"/>
    </row>
    <row r="25" spans="1:19" ht="15.75" customHeight="1">
      <c r="A25" s="23">
        <v>14</v>
      </c>
      <c r="B25" s="43">
        <f t="shared" si="1"/>
        <v>0</v>
      </c>
      <c r="C25" s="123">
        <f t="shared" si="3"/>
        <v>0</v>
      </c>
      <c r="D25" s="43">
        <f t="shared" si="4"/>
        <v>0</v>
      </c>
      <c r="E25" s="68">
        <f t="shared" si="5"/>
        <v>0</v>
      </c>
      <c r="F25" s="51"/>
      <c r="G25" s="4195"/>
      <c r="H25" s="22" t="s">
        <v>18</v>
      </c>
      <c r="I25" s="43">
        <f>IF($B$8=12,B25,0)</f>
        <v>0</v>
      </c>
      <c r="J25" s="43">
        <f>IF($B$8=12,C25,0)</f>
        <v>0</v>
      </c>
      <c r="K25" s="68">
        <f>IF($B$8=12,D25,0)</f>
        <v>0</v>
      </c>
      <c r="M25" s="4195"/>
      <c r="N25" s="9" t="s">
        <v>18</v>
      </c>
      <c r="O25" s="43">
        <f t="shared" si="7"/>
        <v>0</v>
      </c>
      <c r="P25" s="43">
        <f t="shared" si="7"/>
        <v>0</v>
      </c>
      <c r="Q25" s="44">
        <f t="shared" si="7"/>
        <v>0</v>
      </c>
      <c r="R25" s="68">
        <f t="shared" si="6"/>
        <v>0</v>
      </c>
      <c r="S25" s="51"/>
    </row>
    <row r="26" spans="1:19" ht="15.75" customHeight="1">
      <c r="A26" s="23">
        <v>15</v>
      </c>
      <c r="B26" s="43">
        <f t="shared" si="1"/>
        <v>0</v>
      </c>
      <c r="C26" s="123">
        <f t="shared" si="3"/>
        <v>0</v>
      </c>
      <c r="D26" s="43">
        <f t="shared" si="4"/>
        <v>0</v>
      </c>
      <c r="E26" s="68">
        <f t="shared" si="5"/>
        <v>0</v>
      </c>
      <c r="F26" s="51"/>
      <c r="G26" s="4195"/>
      <c r="H26" s="22" t="s">
        <v>19</v>
      </c>
      <c r="I26" s="43">
        <f>IF($B$8=12,B26,IF($B$8=6,B19,0))</f>
        <v>0</v>
      </c>
      <c r="J26" s="43">
        <f>IF($B$8=12,C26,IF($B$8=6,C19,0))</f>
        <v>0</v>
      </c>
      <c r="K26" s="68">
        <f>IF($B$8=12,D26,IF($B$8=6,D19,0))</f>
        <v>0</v>
      </c>
      <c r="M26" s="4195"/>
      <c r="N26" s="9" t="s">
        <v>19</v>
      </c>
      <c r="O26" s="43">
        <f t="shared" si="7"/>
        <v>0</v>
      </c>
      <c r="P26" s="43">
        <f t="shared" si="7"/>
        <v>0</v>
      </c>
      <c r="Q26" s="44">
        <f t="shared" si="7"/>
        <v>0</v>
      </c>
      <c r="R26" s="68">
        <f t="shared" si="6"/>
        <v>0</v>
      </c>
      <c r="S26" s="51"/>
    </row>
    <row r="27" spans="1:19" ht="15.75" customHeight="1">
      <c r="A27" s="23">
        <v>16</v>
      </c>
      <c r="B27" s="43">
        <f t="shared" si="1"/>
        <v>0</v>
      </c>
      <c r="C27" s="123">
        <f t="shared" si="3"/>
        <v>0</v>
      </c>
      <c r="D27" s="43">
        <f t="shared" si="4"/>
        <v>0</v>
      </c>
      <c r="E27" s="68">
        <f t="shared" si="5"/>
        <v>0</v>
      </c>
      <c r="F27" s="51"/>
      <c r="G27" s="4195"/>
      <c r="H27" s="22" t="s">
        <v>20</v>
      </c>
      <c r="I27" s="43">
        <f>IF($B$8=12,B27,IF($B$8=4,B17,IF($B$8=6,0,IF($B$8=3,0,0))))</f>
        <v>0</v>
      </c>
      <c r="J27" s="43">
        <f>IF($B$8=12,C27,IF($B$8=4,C17,IF($B$8=6,0,IF($B$8=3,0,0))))</f>
        <v>0</v>
      </c>
      <c r="K27" s="68">
        <f>IF($B$8=12,D27,IF($B$8=4,D17,IF($B$8=6,0,IF($B$8=3,0,0))))</f>
        <v>0</v>
      </c>
      <c r="M27" s="4195"/>
      <c r="N27" s="9" t="s">
        <v>20</v>
      </c>
      <c r="O27" s="43">
        <f t="shared" si="7"/>
        <v>0</v>
      </c>
      <c r="P27" s="43">
        <f t="shared" si="7"/>
        <v>0</v>
      </c>
      <c r="Q27" s="44">
        <f t="shared" si="7"/>
        <v>0</v>
      </c>
      <c r="R27" s="68">
        <f t="shared" si="6"/>
        <v>0</v>
      </c>
      <c r="S27" s="51"/>
    </row>
    <row r="28" spans="1:19" ht="15.75" customHeight="1">
      <c r="A28" s="23">
        <v>17</v>
      </c>
      <c r="B28" s="43">
        <f t="shared" si="1"/>
        <v>0</v>
      </c>
      <c r="C28" s="123">
        <f t="shared" si="3"/>
        <v>0</v>
      </c>
      <c r="D28" s="43">
        <f t="shared" si="4"/>
        <v>0</v>
      </c>
      <c r="E28" s="68">
        <f t="shared" si="5"/>
        <v>0</v>
      </c>
      <c r="F28" s="51"/>
      <c r="G28" s="4195"/>
      <c r="H28" s="22" t="s">
        <v>21</v>
      </c>
      <c r="I28" s="43">
        <f>IF($B$8=12,B28,IF($B$8=4,0,IF($B$8=6,B20,IF($B$8=3,B16,0))))</f>
        <v>0</v>
      </c>
      <c r="J28" s="43">
        <f>IF($B$8=12,C28,IF($B$8=4,0,IF($B$8=6,C20,IF($B$8=3,C16,0))))</f>
        <v>0</v>
      </c>
      <c r="K28" s="68">
        <f>IF($B$8=12,D28,IF($B$8=4,0,IF($B$8=6,D20,IF($B$8=3,D16,0))))</f>
        <v>0</v>
      </c>
      <c r="M28" s="4195"/>
      <c r="N28" s="9" t="s">
        <v>21</v>
      </c>
      <c r="O28" s="43">
        <f t="shared" si="7"/>
        <v>0</v>
      </c>
      <c r="P28" s="43">
        <f t="shared" si="7"/>
        <v>0</v>
      </c>
      <c r="Q28" s="44">
        <f t="shared" si="7"/>
        <v>0</v>
      </c>
      <c r="R28" s="68">
        <f t="shared" si="6"/>
        <v>0</v>
      </c>
      <c r="S28" s="51"/>
    </row>
    <row r="29" spans="1:19" ht="15.75" customHeight="1">
      <c r="A29" s="23">
        <v>18</v>
      </c>
      <c r="B29" s="43">
        <f t="shared" si="1"/>
        <v>0</v>
      </c>
      <c r="C29" s="123">
        <f t="shared" si="3"/>
        <v>0</v>
      </c>
      <c r="D29" s="43">
        <f t="shared" si="4"/>
        <v>0</v>
      </c>
      <c r="E29" s="68">
        <f t="shared" si="5"/>
        <v>0</v>
      </c>
      <c r="F29" s="51"/>
      <c r="G29" s="4195"/>
      <c r="H29" s="22" t="s">
        <v>22</v>
      </c>
      <c r="I29" s="43">
        <f>IF($B$8=12,B29,IF($B$8=4,0,IF($B$8=6,0,IF($B$8=3,0,0))))</f>
        <v>0</v>
      </c>
      <c r="J29" s="43">
        <f>IF($B$8=12,C29,IF($B$8=4,0,IF($B$8=6,0,IF($B$8=3,0,0))))</f>
        <v>0</v>
      </c>
      <c r="K29" s="68">
        <f>IF($B$8=12,D29,IF($B$8=4,0,IF($B$8=6,0,IF($B$8=3,0,0))))</f>
        <v>0</v>
      </c>
      <c r="M29" s="4195"/>
      <c r="N29" s="9" t="s">
        <v>22</v>
      </c>
      <c r="O29" s="43">
        <f t="shared" si="7"/>
        <v>0</v>
      </c>
      <c r="P29" s="43">
        <f t="shared" si="7"/>
        <v>0</v>
      </c>
      <c r="Q29" s="44">
        <f t="shared" si="7"/>
        <v>0</v>
      </c>
      <c r="R29" s="68">
        <f t="shared" si="6"/>
        <v>0</v>
      </c>
      <c r="S29" s="51"/>
    </row>
    <row r="30" spans="1:19" ht="15.75" customHeight="1">
      <c r="A30" s="23">
        <v>19</v>
      </c>
      <c r="B30" s="43">
        <f t="shared" si="1"/>
        <v>0</v>
      </c>
      <c r="C30" s="123">
        <f t="shared" si="3"/>
        <v>0</v>
      </c>
      <c r="D30" s="43">
        <f t="shared" si="4"/>
        <v>0</v>
      </c>
      <c r="E30" s="68">
        <f t="shared" si="5"/>
        <v>0</v>
      </c>
      <c r="F30" s="51"/>
      <c r="G30" s="4195"/>
      <c r="H30" s="22" t="s">
        <v>23</v>
      </c>
      <c r="I30" s="43">
        <f>IF($B$8=12,B30,IF($B$8=4,B18,IF($B$8=6,B21,IF($B$8=3,0,IF($B$8=2,B15,0)))))</f>
        <v>0</v>
      </c>
      <c r="J30" s="43">
        <f>IF($B$8=12,C30,IF($B$8=4,C18,IF($B$8=6,C21,IF($B$8=3,0,IF($B$8=2,C15,0)))))</f>
        <v>0</v>
      </c>
      <c r="K30" s="68">
        <f>IF($B$8=12,D30,IF($B$8=4,D18,IF($B$8=6,D21,IF($B$8=3,0,IF($B$8=2,D15,0)))))</f>
        <v>0</v>
      </c>
      <c r="M30" s="4195"/>
      <c r="N30" s="9" t="s">
        <v>23</v>
      </c>
      <c r="O30" s="43">
        <f t="shared" si="7"/>
        <v>0</v>
      </c>
      <c r="P30" s="43">
        <f t="shared" si="7"/>
        <v>0</v>
      </c>
      <c r="Q30" s="44">
        <f t="shared" si="7"/>
        <v>0</v>
      </c>
      <c r="R30" s="68">
        <f t="shared" si="6"/>
        <v>0</v>
      </c>
      <c r="S30" s="51"/>
    </row>
    <row r="31" spans="1:19" ht="15.75" customHeight="1">
      <c r="A31" s="23">
        <v>20</v>
      </c>
      <c r="B31" s="43">
        <f t="shared" si="1"/>
        <v>0</v>
      </c>
      <c r="C31" s="123">
        <f t="shared" si="3"/>
        <v>0</v>
      </c>
      <c r="D31" s="43">
        <f t="shared" si="4"/>
        <v>0</v>
      </c>
      <c r="E31" s="68">
        <f t="shared" si="5"/>
        <v>0</v>
      </c>
      <c r="F31" s="51"/>
      <c r="G31" s="4195"/>
      <c r="H31" s="22" t="s">
        <v>24</v>
      </c>
      <c r="I31" s="43">
        <f>IF($B$8=12,B31,IF($B$8=4,0,IF($B$8=6,0,IF($B$8=3,0,0))))</f>
        <v>0</v>
      </c>
      <c r="J31" s="43">
        <f>IF($B$8=12,C31,IF($B$8=4,0,IF($B$8=6,0,IF($B$8=3,0,0))))</f>
        <v>0</v>
      </c>
      <c r="K31" s="68">
        <f>IF($B$8=12,D31,IF($B$8=4,0,IF($B$8=6,0,IF($B$8=3,0,0))))</f>
        <v>0</v>
      </c>
      <c r="M31" s="4195"/>
      <c r="N31" s="9" t="s">
        <v>24</v>
      </c>
      <c r="O31" s="43">
        <f t="shared" si="7"/>
        <v>0</v>
      </c>
      <c r="P31" s="43">
        <f t="shared" si="7"/>
        <v>0</v>
      </c>
      <c r="Q31" s="44">
        <f t="shared" si="7"/>
        <v>0</v>
      </c>
      <c r="R31" s="68">
        <f t="shared" si="6"/>
        <v>0</v>
      </c>
      <c r="S31" s="51"/>
    </row>
    <row r="32" spans="1:19" ht="15.75" customHeight="1">
      <c r="A32" s="23">
        <v>21</v>
      </c>
      <c r="B32" s="43">
        <f t="shared" si="1"/>
        <v>0</v>
      </c>
      <c r="C32" s="123">
        <f t="shared" si="3"/>
        <v>0</v>
      </c>
      <c r="D32" s="43">
        <f t="shared" si="4"/>
        <v>0</v>
      </c>
      <c r="E32" s="68">
        <f t="shared" si="5"/>
        <v>0</v>
      </c>
      <c r="F32" s="51"/>
      <c r="G32" s="4195"/>
      <c r="H32" s="22" t="s">
        <v>25</v>
      </c>
      <c r="I32" s="43">
        <f>IF($B$8=12,B32,IF($B$8=4,0,IF($B$8=6,B22,IF($B$8=3,B17,0))))</f>
        <v>0</v>
      </c>
      <c r="J32" s="43">
        <f>IF($B$8=12,C32,IF($B$8=4,0,IF($B$8=6,C22,IF($B$8=3,C17,0))))</f>
        <v>0</v>
      </c>
      <c r="K32" s="68">
        <f>IF($B$8=12,D32,IF($B$8=4,0,IF($B$8=6,D22,IF($B$8=3,D17,0))))</f>
        <v>0</v>
      </c>
      <c r="M32" s="4195"/>
      <c r="N32" s="9" t="s">
        <v>25</v>
      </c>
      <c r="O32" s="43">
        <f t="shared" si="7"/>
        <v>0</v>
      </c>
      <c r="P32" s="43">
        <f t="shared" si="7"/>
        <v>0</v>
      </c>
      <c r="Q32" s="44">
        <f t="shared" si="7"/>
        <v>0</v>
      </c>
      <c r="R32" s="68">
        <f t="shared" si="6"/>
        <v>0</v>
      </c>
      <c r="S32" s="51"/>
    </row>
    <row r="33" spans="1:19" ht="15.75" customHeight="1">
      <c r="A33" s="23">
        <v>22</v>
      </c>
      <c r="B33" s="43">
        <f t="shared" si="1"/>
        <v>0</v>
      </c>
      <c r="C33" s="123">
        <f t="shared" si="3"/>
        <v>0</v>
      </c>
      <c r="D33" s="43">
        <f t="shared" si="4"/>
        <v>0</v>
      </c>
      <c r="E33" s="68">
        <f t="shared" si="5"/>
        <v>0</v>
      </c>
      <c r="F33" s="51"/>
      <c r="G33" s="4195"/>
      <c r="H33" s="22" t="s">
        <v>26</v>
      </c>
      <c r="I33" s="43">
        <f>IF($B$8=12,B33,IF($B$8=4,B19,IF($B$8=6,0,IF($B$8=3,0,0))))</f>
        <v>0</v>
      </c>
      <c r="J33" s="43">
        <f>IF($B$8=12,C33,IF($B$8=4,C19,IF($B$8=6,0,IF($B$8=3,0,0))))</f>
        <v>0</v>
      </c>
      <c r="K33" s="68">
        <f>IF($B$8=12,D33,IF($B$8=4,D19,IF($B$8=6,0,IF($B$8=3,0,0))))</f>
        <v>0</v>
      </c>
      <c r="M33" s="4195"/>
      <c r="N33" s="9" t="s">
        <v>26</v>
      </c>
      <c r="O33" s="43">
        <f t="shared" si="7"/>
        <v>0</v>
      </c>
      <c r="P33" s="43">
        <f t="shared" si="7"/>
        <v>0</v>
      </c>
      <c r="Q33" s="44">
        <f t="shared" si="7"/>
        <v>0</v>
      </c>
      <c r="R33" s="68">
        <f t="shared" si="6"/>
        <v>0</v>
      </c>
      <c r="S33" s="51"/>
    </row>
    <row r="34" spans="1:19" ht="15.75" customHeight="1">
      <c r="A34" s="23">
        <v>23</v>
      </c>
      <c r="B34" s="43">
        <f t="shared" si="1"/>
        <v>0</v>
      </c>
      <c r="C34" s="123">
        <f t="shared" si="3"/>
        <v>0</v>
      </c>
      <c r="D34" s="43">
        <f t="shared" si="4"/>
        <v>0</v>
      </c>
      <c r="E34" s="68">
        <f t="shared" si="5"/>
        <v>0</v>
      </c>
      <c r="F34" s="51"/>
      <c r="G34" s="4195"/>
      <c r="H34" s="22" t="s">
        <v>27</v>
      </c>
      <c r="I34" s="43">
        <f>IF($B$8=12,B34,IF($B$8=4,0,IF($B$8=6,B23,IF($B$8=3,0,0))))</f>
        <v>0</v>
      </c>
      <c r="J34" s="43">
        <f>IF($B$8=12,C34,IF($B$8=4,0,IF($B$8=6,C23,IF($B$8=3,0,0))))</f>
        <v>0</v>
      </c>
      <c r="K34" s="68">
        <f>IF($B$8=12,D34,IF($B$8=4,0,IF($B$8=6,D23,IF($B$8=3,0,0))))</f>
        <v>0</v>
      </c>
      <c r="M34" s="4195"/>
      <c r="N34" s="9" t="s">
        <v>27</v>
      </c>
      <c r="O34" s="43">
        <f t="shared" si="7"/>
        <v>0</v>
      </c>
      <c r="P34" s="43">
        <f t="shared" si="7"/>
        <v>0</v>
      </c>
      <c r="Q34" s="44">
        <f t="shared" si="7"/>
        <v>0</v>
      </c>
      <c r="R34" s="68">
        <f t="shared" si="6"/>
        <v>0</v>
      </c>
      <c r="S34" s="51"/>
    </row>
    <row r="35" spans="1:19" ht="15.75" customHeight="1" thickBot="1">
      <c r="A35" s="24">
        <v>24</v>
      </c>
      <c r="B35" s="70">
        <f t="shared" si="1"/>
        <v>0</v>
      </c>
      <c r="C35" s="139">
        <f t="shared" si="3"/>
        <v>0</v>
      </c>
      <c r="D35" s="70">
        <f t="shared" si="4"/>
        <v>0</v>
      </c>
      <c r="E35" s="75">
        <f t="shared" si="5"/>
        <v>0</v>
      </c>
      <c r="F35" s="243">
        <f>SUM(D24:D35)</f>
        <v>0</v>
      </c>
      <c r="G35" s="4196"/>
      <c r="H35" s="25" t="s">
        <v>28</v>
      </c>
      <c r="I35" s="70">
        <f>IF($B$8=12,B35,IF($B$8=4,0,IF($B$8=6,0,IF($B$8=3,0,0))))</f>
        <v>0</v>
      </c>
      <c r="J35" s="70">
        <f>IF($B$8=12,C35,IF($B$8=4,0,IF($B$8=6,0,IF($B$8=3,0,0))))</f>
        <v>0</v>
      </c>
      <c r="K35" s="72">
        <f>IF($B$8=12,D35,IF($B$8=4,0,IF($B$8=6,0,IF($B$8=3,0,0))))</f>
        <v>0</v>
      </c>
      <c r="M35" s="4196"/>
      <c r="N35" s="35" t="s">
        <v>28</v>
      </c>
      <c r="O35" s="43">
        <f t="shared" si="7"/>
        <v>0</v>
      </c>
      <c r="P35" s="43">
        <f t="shared" si="7"/>
        <v>0</v>
      </c>
      <c r="Q35" s="46">
        <f t="shared" si="7"/>
        <v>0</v>
      </c>
      <c r="R35" s="75">
        <f t="shared" si="6"/>
        <v>0</v>
      </c>
      <c r="S35" s="1100">
        <f>SUM(Q24:Q35)</f>
        <v>0</v>
      </c>
    </row>
    <row r="36" spans="1:19" ht="15.75" customHeight="1">
      <c r="A36" s="23">
        <v>25</v>
      </c>
      <c r="B36" s="43">
        <f t="shared" si="1"/>
        <v>0</v>
      </c>
      <c r="C36" s="123">
        <f t="shared" si="3"/>
        <v>0</v>
      </c>
      <c r="D36" s="43">
        <f t="shared" si="4"/>
        <v>0</v>
      </c>
      <c r="E36" s="68">
        <f t="shared" si="5"/>
        <v>0</v>
      </c>
      <c r="F36" s="51"/>
      <c r="G36" s="4194">
        <f>G24+1</f>
        <v>2</v>
      </c>
      <c r="H36" s="22" t="s">
        <v>17</v>
      </c>
      <c r="I36" s="43">
        <f>IF($B$8=12,B36,IF($B$8=4,B20,IF($B$8=6,B24,IF($B$8=3,B18,IF($B$8=2,B16,IF($B$8=1,B14,0))))))</f>
        <v>0</v>
      </c>
      <c r="J36" s="43">
        <f>IF($B$8=12,C36,IF($B$8=4,C20,IF($B$8=6,C24,IF($B$8=3,C18,IF($B$8=2,C16,IF($B$8=1,C14,0))))))</f>
        <v>0</v>
      </c>
      <c r="K36" s="68">
        <f>IF($B$8=12,D36,IF($B$8=4,D20,IF($B$8=6,D24,IF($B$8=3,D18,IF($B$8=2,D16,IF($B$8=1,D14,0))))))</f>
        <v>0</v>
      </c>
      <c r="M36" s="4194">
        <f>M12+2</f>
        <v>2</v>
      </c>
      <c r="N36" s="9" t="s">
        <v>17</v>
      </c>
      <c r="O36" s="76">
        <f t="shared" ref="O36:Q47" si="8">IF($I$6=3,I12,IF($I$6=2,I24,IF($I$6=1,I36,0)))</f>
        <v>0</v>
      </c>
      <c r="P36" s="76">
        <f t="shared" si="8"/>
        <v>0</v>
      </c>
      <c r="Q36" s="77">
        <f t="shared" si="8"/>
        <v>0</v>
      </c>
      <c r="R36" s="68">
        <f t="shared" si="6"/>
        <v>0</v>
      </c>
      <c r="S36" s="51"/>
    </row>
    <row r="37" spans="1:19" ht="15.75" customHeight="1">
      <c r="A37" s="23">
        <v>26</v>
      </c>
      <c r="B37" s="43">
        <f t="shared" si="1"/>
        <v>0</v>
      </c>
      <c r="C37" s="123">
        <f t="shared" si="3"/>
        <v>0</v>
      </c>
      <c r="D37" s="43">
        <f t="shared" si="4"/>
        <v>0</v>
      </c>
      <c r="E37" s="68">
        <f t="shared" si="5"/>
        <v>0</v>
      </c>
      <c r="F37" s="51"/>
      <c r="G37" s="4195"/>
      <c r="H37" s="22" t="s">
        <v>18</v>
      </c>
      <c r="I37" s="43">
        <f>IF($B$8=12,B37,0)</f>
        <v>0</v>
      </c>
      <c r="J37" s="43">
        <f>IF($B$8=12,C37,0)</f>
        <v>0</v>
      </c>
      <c r="K37" s="68">
        <f>IF($B$8=12,D37,0)</f>
        <v>0</v>
      </c>
      <c r="M37" s="4195"/>
      <c r="N37" s="9" t="s">
        <v>18</v>
      </c>
      <c r="O37" s="43">
        <f t="shared" si="8"/>
        <v>0</v>
      </c>
      <c r="P37" s="43">
        <f t="shared" si="8"/>
        <v>0</v>
      </c>
      <c r="Q37" s="44">
        <f t="shared" si="8"/>
        <v>0</v>
      </c>
      <c r="R37" s="68">
        <f t="shared" si="6"/>
        <v>0</v>
      </c>
      <c r="S37" s="51"/>
    </row>
    <row r="38" spans="1:19" ht="15.75" customHeight="1">
      <c r="A38" s="23">
        <v>27</v>
      </c>
      <c r="B38" s="43">
        <f t="shared" si="1"/>
        <v>0</v>
      </c>
      <c r="C38" s="123">
        <f t="shared" si="3"/>
        <v>0</v>
      </c>
      <c r="D38" s="43">
        <f t="shared" si="4"/>
        <v>0</v>
      </c>
      <c r="E38" s="68">
        <f t="shared" si="5"/>
        <v>0</v>
      </c>
      <c r="F38" s="51"/>
      <c r="G38" s="4195"/>
      <c r="H38" s="22" t="s">
        <v>19</v>
      </c>
      <c r="I38" s="43">
        <f>IF($B$8=12,B38,IF($B$8=6,B25,0))</f>
        <v>0</v>
      </c>
      <c r="J38" s="43">
        <f>IF($B$8=12,C38,IF($B$8=6,C25,0))</f>
        <v>0</v>
      </c>
      <c r="K38" s="68">
        <f>IF($B$8=12,D38,IF($B$8=6,D25,0))</f>
        <v>0</v>
      </c>
      <c r="M38" s="4195"/>
      <c r="N38" s="9" t="s">
        <v>19</v>
      </c>
      <c r="O38" s="43">
        <f t="shared" si="8"/>
        <v>0</v>
      </c>
      <c r="P38" s="43">
        <f t="shared" si="8"/>
        <v>0</v>
      </c>
      <c r="Q38" s="44">
        <f t="shared" si="8"/>
        <v>0</v>
      </c>
      <c r="R38" s="68">
        <f t="shared" si="6"/>
        <v>0</v>
      </c>
      <c r="S38" s="51"/>
    </row>
    <row r="39" spans="1:19" ht="15.75" customHeight="1">
      <c r="A39" s="23">
        <v>28</v>
      </c>
      <c r="B39" s="43">
        <f t="shared" si="1"/>
        <v>0</v>
      </c>
      <c r="C39" s="123">
        <f t="shared" si="3"/>
        <v>0</v>
      </c>
      <c r="D39" s="43">
        <f t="shared" si="4"/>
        <v>0</v>
      </c>
      <c r="E39" s="68">
        <f t="shared" si="5"/>
        <v>0</v>
      </c>
      <c r="F39" s="51"/>
      <c r="G39" s="4195"/>
      <c r="H39" s="22" t="s">
        <v>20</v>
      </c>
      <c r="I39" s="43">
        <f>IF($B$8=12,B39,IF($B$8=4,B21,IF($B$8=6,0,IF($B$8=3,0,0))))</f>
        <v>0</v>
      </c>
      <c r="J39" s="43">
        <f>IF($B$8=12,C39,IF($B$8=4,C21,IF($B$8=6,0,IF($B$8=3,0,0))))</f>
        <v>0</v>
      </c>
      <c r="K39" s="68">
        <f>IF($B$8=12,D39,IF($B$8=4,D21,IF($B$8=6,0,IF($B$8=3,0,0))))</f>
        <v>0</v>
      </c>
      <c r="M39" s="4195"/>
      <c r="N39" s="9" t="s">
        <v>20</v>
      </c>
      <c r="O39" s="43">
        <f t="shared" si="8"/>
        <v>0</v>
      </c>
      <c r="P39" s="43">
        <f t="shared" si="8"/>
        <v>0</v>
      </c>
      <c r="Q39" s="44">
        <f t="shared" si="8"/>
        <v>0</v>
      </c>
      <c r="R39" s="68">
        <f t="shared" si="6"/>
        <v>0</v>
      </c>
      <c r="S39" s="51"/>
    </row>
    <row r="40" spans="1:19" ht="15.75" customHeight="1">
      <c r="A40" s="23">
        <v>29</v>
      </c>
      <c r="B40" s="43">
        <f t="shared" si="1"/>
        <v>0</v>
      </c>
      <c r="C40" s="123">
        <f t="shared" si="3"/>
        <v>0</v>
      </c>
      <c r="D40" s="43">
        <f t="shared" si="4"/>
        <v>0</v>
      </c>
      <c r="E40" s="68">
        <f t="shared" si="5"/>
        <v>0</v>
      </c>
      <c r="F40" s="51"/>
      <c r="G40" s="4195"/>
      <c r="H40" s="22" t="s">
        <v>21</v>
      </c>
      <c r="I40" s="43">
        <f>IF($B$8=12,B40,IF($B$8=4,0,IF($B$8=6,B26,IF($B$8=3,B19,0))))</f>
        <v>0</v>
      </c>
      <c r="J40" s="43">
        <f>IF($B$8=12,C40,IF($B$8=4,0,IF($B$8=6,C26,IF($B$8=3,C19,0))))</f>
        <v>0</v>
      </c>
      <c r="K40" s="68">
        <f>IF($B$8=12,D40,IF($B$8=4,0,IF($B$8=6,D26,IF($B$8=3,D19,0))))</f>
        <v>0</v>
      </c>
      <c r="M40" s="4195"/>
      <c r="N40" s="9" t="s">
        <v>21</v>
      </c>
      <c r="O40" s="43">
        <f t="shared" si="8"/>
        <v>0</v>
      </c>
      <c r="P40" s="43">
        <f t="shared" si="8"/>
        <v>0</v>
      </c>
      <c r="Q40" s="44">
        <f t="shared" si="8"/>
        <v>0</v>
      </c>
      <c r="R40" s="68">
        <f t="shared" si="6"/>
        <v>0</v>
      </c>
      <c r="S40" s="51"/>
    </row>
    <row r="41" spans="1:19" ht="15.75" customHeight="1">
      <c r="A41" s="23">
        <v>30</v>
      </c>
      <c r="B41" s="43">
        <f t="shared" si="1"/>
        <v>0</v>
      </c>
      <c r="C41" s="123">
        <f t="shared" si="3"/>
        <v>0</v>
      </c>
      <c r="D41" s="43">
        <f t="shared" si="4"/>
        <v>0</v>
      </c>
      <c r="E41" s="68">
        <f t="shared" si="5"/>
        <v>0</v>
      </c>
      <c r="F41" s="51"/>
      <c r="G41" s="4195"/>
      <c r="H41" s="22" t="s">
        <v>22</v>
      </c>
      <c r="I41" s="43">
        <f>IF($B$8=12,B41,IF($B$8=4,0,IF($B$8=6,0,IF($B$8=3,0,0))))</f>
        <v>0</v>
      </c>
      <c r="J41" s="43">
        <f>IF($B$8=12,C41,IF($B$8=4,0,IF($B$8=6,0,IF($B$8=3,0,0))))</f>
        <v>0</v>
      </c>
      <c r="K41" s="68">
        <f>IF($B$8=12,D41,IF($B$8=4,0,IF($B$8=6,0,IF($B$8=3,0,0))))</f>
        <v>0</v>
      </c>
      <c r="M41" s="4195"/>
      <c r="N41" s="9" t="s">
        <v>22</v>
      </c>
      <c r="O41" s="43">
        <f t="shared" si="8"/>
        <v>0</v>
      </c>
      <c r="P41" s="43">
        <f t="shared" si="8"/>
        <v>0</v>
      </c>
      <c r="Q41" s="44">
        <f t="shared" si="8"/>
        <v>0</v>
      </c>
      <c r="R41" s="68">
        <f t="shared" si="6"/>
        <v>0</v>
      </c>
      <c r="S41" s="51"/>
    </row>
    <row r="42" spans="1:19" ht="15.75" customHeight="1">
      <c r="A42" s="23">
        <v>31</v>
      </c>
      <c r="B42" s="43">
        <f t="shared" si="1"/>
        <v>0</v>
      </c>
      <c r="C42" s="123">
        <f t="shared" si="3"/>
        <v>0</v>
      </c>
      <c r="D42" s="43">
        <f t="shared" si="4"/>
        <v>0</v>
      </c>
      <c r="E42" s="68">
        <f t="shared" si="5"/>
        <v>0</v>
      </c>
      <c r="F42" s="51"/>
      <c r="G42" s="4195"/>
      <c r="H42" s="22" t="s">
        <v>23</v>
      </c>
      <c r="I42" s="43">
        <f>IF($B$8=12,B42,IF($B$8=4,B22,IF($B$8=6,B27,IF($B$8=3,0,IF($B$8=2,B17,0)))))</f>
        <v>0</v>
      </c>
      <c r="J42" s="43">
        <f>IF($B$8=12,C42,IF($B$8=4,C22,IF($B$8=6,C27,IF($B$8=3,0,IF($B$8=2,C17,0)))))</f>
        <v>0</v>
      </c>
      <c r="K42" s="68">
        <f>IF($B$8=12,D42,IF($B$8=4,D22,IF($B$8=6,D27,IF($B$8=3,0,IF($B$8=2,D17,0)))))</f>
        <v>0</v>
      </c>
      <c r="M42" s="4195"/>
      <c r="N42" s="9" t="s">
        <v>23</v>
      </c>
      <c r="O42" s="43">
        <f t="shared" si="8"/>
        <v>0</v>
      </c>
      <c r="P42" s="43">
        <f t="shared" si="8"/>
        <v>0</v>
      </c>
      <c r="Q42" s="44">
        <f t="shared" si="8"/>
        <v>0</v>
      </c>
      <c r="R42" s="68">
        <f t="shared" si="6"/>
        <v>0</v>
      </c>
      <c r="S42" s="51"/>
    </row>
    <row r="43" spans="1:19" ht="15.75" customHeight="1">
      <c r="A43" s="23">
        <v>32</v>
      </c>
      <c r="B43" s="43">
        <f t="shared" si="1"/>
        <v>0</v>
      </c>
      <c r="C43" s="123">
        <f t="shared" si="3"/>
        <v>0</v>
      </c>
      <c r="D43" s="43">
        <f t="shared" si="4"/>
        <v>0</v>
      </c>
      <c r="E43" s="68">
        <f t="shared" si="5"/>
        <v>0</v>
      </c>
      <c r="F43" s="51"/>
      <c r="G43" s="4195"/>
      <c r="H43" s="22" t="s">
        <v>24</v>
      </c>
      <c r="I43" s="43">
        <f>IF($B$8=12,B43,IF($B$8=4,0,IF($B$8=6,0,IF($B$8=3,0,0))))</f>
        <v>0</v>
      </c>
      <c r="J43" s="43">
        <f>IF($B$8=12,C43,IF($B$8=4,0,IF($B$8=6,0,IF($B$8=3,0,0))))</f>
        <v>0</v>
      </c>
      <c r="K43" s="68">
        <f>IF($B$8=12,D43,IF($B$8=4,0,IF($B$8=6,0,IF($B$8=3,0,0))))</f>
        <v>0</v>
      </c>
      <c r="M43" s="4195"/>
      <c r="N43" s="9" t="s">
        <v>24</v>
      </c>
      <c r="O43" s="43">
        <f t="shared" si="8"/>
        <v>0</v>
      </c>
      <c r="P43" s="43">
        <f t="shared" si="8"/>
        <v>0</v>
      </c>
      <c r="Q43" s="44">
        <f t="shared" si="8"/>
        <v>0</v>
      </c>
      <c r="R43" s="68">
        <f t="shared" si="6"/>
        <v>0</v>
      </c>
      <c r="S43" s="51"/>
    </row>
    <row r="44" spans="1:19" ht="15.75" customHeight="1">
      <c r="A44" s="23">
        <v>33</v>
      </c>
      <c r="B44" s="43">
        <f t="shared" si="1"/>
        <v>0</v>
      </c>
      <c r="C44" s="123">
        <f t="shared" si="3"/>
        <v>0</v>
      </c>
      <c r="D44" s="43">
        <f t="shared" si="4"/>
        <v>0</v>
      </c>
      <c r="E44" s="68">
        <f t="shared" si="5"/>
        <v>0</v>
      </c>
      <c r="F44" s="51"/>
      <c r="G44" s="4195"/>
      <c r="H44" s="22" t="s">
        <v>25</v>
      </c>
      <c r="I44" s="43">
        <f>IF($B$8=12,B44,IF($B$8=4,0,IF($B$8=6,B28,IF($B$8=3,B20,0))))</f>
        <v>0</v>
      </c>
      <c r="J44" s="43">
        <f>IF($B$8=12,C44,IF($B$8=4,0,IF($B$8=6,C28,IF($B$8=3,C20,0))))</f>
        <v>0</v>
      </c>
      <c r="K44" s="68">
        <f>IF($B$8=12,D44,IF($B$8=4,0,IF($B$8=6,D28,IF($B$8=3,D20,0))))</f>
        <v>0</v>
      </c>
      <c r="M44" s="4195"/>
      <c r="N44" s="9" t="s">
        <v>25</v>
      </c>
      <c r="O44" s="43">
        <f t="shared" si="8"/>
        <v>0</v>
      </c>
      <c r="P44" s="43">
        <f t="shared" si="8"/>
        <v>0</v>
      </c>
      <c r="Q44" s="44">
        <f t="shared" si="8"/>
        <v>0</v>
      </c>
      <c r="R44" s="68">
        <f t="shared" si="6"/>
        <v>0</v>
      </c>
      <c r="S44" s="51"/>
    </row>
    <row r="45" spans="1:19" ht="15.75" customHeight="1">
      <c r="A45" s="23">
        <v>34</v>
      </c>
      <c r="B45" s="43">
        <f t="shared" si="1"/>
        <v>0</v>
      </c>
      <c r="C45" s="123">
        <f t="shared" si="3"/>
        <v>0</v>
      </c>
      <c r="D45" s="43">
        <f t="shared" si="4"/>
        <v>0</v>
      </c>
      <c r="E45" s="68">
        <f t="shared" si="5"/>
        <v>0</v>
      </c>
      <c r="F45" s="51"/>
      <c r="G45" s="4195"/>
      <c r="H45" s="22" t="s">
        <v>26</v>
      </c>
      <c r="I45" s="43">
        <f>IF($B$8=12,B45,IF($B$8=4,B23,IF($B$8=6,0,IF($B$8=3,0,0))))</f>
        <v>0</v>
      </c>
      <c r="J45" s="43">
        <f>IF($B$8=12,C45,IF($B$8=4,C23,IF($B$8=6,0,IF($B$8=3,0,0))))</f>
        <v>0</v>
      </c>
      <c r="K45" s="68">
        <f>IF($B$8=12,D45,IF($B$8=4,D23,IF($B$8=6,0,IF($B$8=3,0,0))))</f>
        <v>0</v>
      </c>
      <c r="M45" s="4195"/>
      <c r="N45" s="9" t="s">
        <v>26</v>
      </c>
      <c r="O45" s="43">
        <f t="shared" si="8"/>
        <v>0</v>
      </c>
      <c r="P45" s="43">
        <f t="shared" si="8"/>
        <v>0</v>
      </c>
      <c r="Q45" s="44">
        <f t="shared" si="8"/>
        <v>0</v>
      </c>
      <c r="R45" s="68">
        <f t="shared" si="6"/>
        <v>0</v>
      </c>
      <c r="S45" s="51"/>
    </row>
    <row r="46" spans="1:19" ht="15.75" customHeight="1">
      <c r="A46" s="23">
        <v>35</v>
      </c>
      <c r="B46" s="43">
        <f t="shared" si="1"/>
        <v>0</v>
      </c>
      <c r="C46" s="123">
        <f t="shared" si="3"/>
        <v>0</v>
      </c>
      <c r="D46" s="43">
        <f t="shared" si="4"/>
        <v>0</v>
      </c>
      <c r="E46" s="68">
        <f t="shared" si="5"/>
        <v>0</v>
      </c>
      <c r="F46" s="51"/>
      <c r="G46" s="4195"/>
      <c r="H46" s="22" t="s">
        <v>27</v>
      </c>
      <c r="I46" s="43">
        <f>IF($B$8=12,B46,IF($B$8=4,0,IF($B$8=6,B29,IF($B$8=3,0,0))))</f>
        <v>0</v>
      </c>
      <c r="J46" s="43">
        <f>IF($B$8=12,C46,IF($B$8=4,0,IF($B$8=6,C29,IF($B$8=3,0,0))))</f>
        <v>0</v>
      </c>
      <c r="K46" s="68">
        <f>IF($B$8=12,D46,IF($B$8=4,0,IF($B$8=6,D29,IF($B$8=3,0,0))))</f>
        <v>0</v>
      </c>
      <c r="M46" s="4195"/>
      <c r="N46" s="9" t="s">
        <v>27</v>
      </c>
      <c r="O46" s="43">
        <f t="shared" si="8"/>
        <v>0</v>
      </c>
      <c r="P46" s="43">
        <f t="shared" si="8"/>
        <v>0</v>
      </c>
      <c r="Q46" s="44">
        <f t="shared" si="8"/>
        <v>0</v>
      </c>
      <c r="R46" s="68">
        <f t="shared" si="6"/>
        <v>0</v>
      </c>
      <c r="S46" s="51"/>
    </row>
    <row r="47" spans="1:19" ht="15.75" customHeight="1" thickBot="1">
      <c r="A47" s="24">
        <v>36</v>
      </c>
      <c r="B47" s="70">
        <f t="shared" si="1"/>
        <v>0</v>
      </c>
      <c r="C47" s="139">
        <f t="shared" si="3"/>
        <v>0</v>
      </c>
      <c r="D47" s="70">
        <f t="shared" si="4"/>
        <v>0</v>
      </c>
      <c r="E47" s="75">
        <f t="shared" si="5"/>
        <v>0</v>
      </c>
      <c r="F47" s="243">
        <f>SUM(D36:D47)</f>
        <v>0</v>
      </c>
      <c r="G47" s="4196"/>
      <c r="H47" s="25" t="s">
        <v>28</v>
      </c>
      <c r="I47" s="70">
        <f>IF($B$8=12,B47,IF($B$8=4,0,IF($B$8=6,0,IF($B$8=3,0,0))))</f>
        <v>0</v>
      </c>
      <c r="J47" s="70">
        <f>IF($B$8=12,C47,IF($B$8=4,0,IF($B$8=6,0,IF($B$8=3,0,0))))</f>
        <v>0</v>
      </c>
      <c r="K47" s="72">
        <f>IF($B$8=12,D47,IF($B$8=4,0,IF($B$8=6,0,IF($B$8=3,0,0))))</f>
        <v>0</v>
      </c>
      <c r="M47" s="4196"/>
      <c r="N47" s="35" t="s">
        <v>28</v>
      </c>
      <c r="O47" s="45">
        <f t="shared" si="8"/>
        <v>0</v>
      </c>
      <c r="P47" s="45">
        <f t="shared" si="8"/>
        <v>0</v>
      </c>
      <c r="Q47" s="46">
        <f t="shared" si="8"/>
        <v>0</v>
      </c>
      <c r="R47" s="75">
        <f t="shared" si="6"/>
        <v>0</v>
      </c>
      <c r="S47" s="1100">
        <f>SUM(Q36:Q47)</f>
        <v>0</v>
      </c>
    </row>
    <row r="48" spans="1:19" ht="15.75" customHeight="1">
      <c r="A48" s="23">
        <v>37</v>
      </c>
      <c r="B48" s="43">
        <f t="shared" si="1"/>
        <v>0</v>
      </c>
      <c r="C48" s="123">
        <f t="shared" si="3"/>
        <v>0</v>
      </c>
      <c r="D48" s="43">
        <f t="shared" si="4"/>
        <v>0</v>
      </c>
      <c r="E48" s="68">
        <f t="shared" si="5"/>
        <v>0</v>
      </c>
      <c r="F48" s="51"/>
      <c r="G48" s="4194">
        <f>G36+1</f>
        <v>3</v>
      </c>
      <c r="H48" s="22" t="s">
        <v>17</v>
      </c>
      <c r="I48" s="43">
        <f>IF($B$8=12,B48,IF($B$8=4,B24,IF($B$8=6,B30,IF($B$8=3,B21,IF($B$8=2,B18,IF($B$8=1,B15,0))))))</f>
        <v>0</v>
      </c>
      <c r="J48" s="43">
        <f>IF($B$8=12,C48,IF($B$8=4,C24,IF($B$8=6,C30,IF($B$8=3,C21,IF($B$8=2,C18,IF($B$8=1,C15,0))))))</f>
        <v>0</v>
      </c>
      <c r="K48" s="68">
        <f>IF($B$8=12,D48,IF($B$8=4,D24,IF($B$8=6,D30,IF($B$8=3,D21,IF($B$8=2,D18,IF($B$8=1,D15,0))))))</f>
        <v>0</v>
      </c>
      <c r="M48" s="4194">
        <f>M12+3</f>
        <v>3</v>
      </c>
      <c r="N48" s="9" t="s">
        <v>17</v>
      </c>
      <c r="O48" s="76">
        <f t="shared" ref="O48:Q59" si="9">IF($I$6=4,I12,IF($I$6=3,I24,IF($I$6=2,I36,IF($I$6=1,I48,0))))</f>
        <v>0</v>
      </c>
      <c r="P48" s="76">
        <f t="shared" si="9"/>
        <v>0</v>
      </c>
      <c r="Q48" s="77">
        <f t="shared" si="9"/>
        <v>0</v>
      </c>
      <c r="R48" s="68">
        <f t="shared" si="6"/>
        <v>0</v>
      </c>
      <c r="S48" s="51"/>
    </row>
    <row r="49" spans="1:19" ht="15.75" customHeight="1">
      <c r="A49" s="23">
        <v>38</v>
      </c>
      <c r="B49" s="43">
        <f t="shared" si="1"/>
        <v>0</v>
      </c>
      <c r="C49" s="123">
        <f t="shared" si="3"/>
        <v>0</v>
      </c>
      <c r="D49" s="43">
        <f t="shared" si="4"/>
        <v>0</v>
      </c>
      <c r="E49" s="68">
        <f t="shared" si="5"/>
        <v>0</v>
      </c>
      <c r="F49" s="51"/>
      <c r="G49" s="4195"/>
      <c r="H49" s="22" t="s">
        <v>18</v>
      </c>
      <c r="I49" s="43">
        <f>IF($B$8=12,B49,0)</f>
        <v>0</v>
      </c>
      <c r="J49" s="43">
        <f>IF($B$8=12,C49,0)</f>
        <v>0</v>
      </c>
      <c r="K49" s="68">
        <f>IF($B$8=12,D49,0)</f>
        <v>0</v>
      </c>
      <c r="M49" s="4195"/>
      <c r="N49" s="9" t="s">
        <v>18</v>
      </c>
      <c r="O49" s="43">
        <f t="shared" si="9"/>
        <v>0</v>
      </c>
      <c r="P49" s="43">
        <f t="shared" si="9"/>
        <v>0</v>
      </c>
      <c r="Q49" s="44">
        <f t="shared" si="9"/>
        <v>0</v>
      </c>
      <c r="R49" s="68">
        <f t="shared" si="6"/>
        <v>0</v>
      </c>
      <c r="S49" s="51"/>
    </row>
    <row r="50" spans="1:19" ht="15.75" customHeight="1">
      <c r="A50" s="23">
        <v>39</v>
      </c>
      <c r="B50" s="43">
        <f t="shared" si="1"/>
        <v>0</v>
      </c>
      <c r="C50" s="123">
        <f t="shared" si="3"/>
        <v>0</v>
      </c>
      <c r="D50" s="43">
        <f t="shared" si="4"/>
        <v>0</v>
      </c>
      <c r="E50" s="68">
        <f t="shared" si="5"/>
        <v>0</v>
      </c>
      <c r="F50" s="51"/>
      <c r="G50" s="4195"/>
      <c r="H50" s="22" t="s">
        <v>19</v>
      </c>
      <c r="I50" s="43">
        <f>IF($B$8=12,B50,IF($B$8=6,B31,0))</f>
        <v>0</v>
      </c>
      <c r="J50" s="43">
        <f>IF($B$8=12,C50,IF($B$8=6,C31,0))</f>
        <v>0</v>
      </c>
      <c r="K50" s="68">
        <f>IF($B$8=12,D50,IF($B$8=6,D31,0))</f>
        <v>0</v>
      </c>
      <c r="M50" s="4195"/>
      <c r="N50" s="9" t="s">
        <v>19</v>
      </c>
      <c r="O50" s="43">
        <f t="shared" si="9"/>
        <v>0</v>
      </c>
      <c r="P50" s="43">
        <f t="shared" si="9"/>
        <v>0</v>
      </c>
      <c r="Q50" s="44">
        <f t="shared" si="9"/>
        <v>0</v>
      </c>
      <c r="R50" s="68">
        <f t="shared" si="6"/>
        <v>0</v>
      </c>
      <c r="S50" s="51"/>
    </row>
    <row r="51" spans="1:19" ht="15.75" customHeight="1">
      <c r="A51" s="23">
        <v>40</v>
      </c>
      <c r="B51" s="43">
        <f t="shared" si="1"/>
        <v>0</v>
      </c>
      <c r="C51" s="123">
        <f t="shared" si="3"/>
        <v>0</v>
      </c>
      <c r="D51" s="43">
        <f t="shared" si="4"/>
        <v>0</v>
      </c>
      <c r="E51" s="68">
        <f t="shared" si="5"/>
        <v>0</v>
      </c>
      <c r="F51" s="51"/>
      <c r="G51" s="4195"/>
      <c r="H51" s="22" t="s">
        <v>20</v>
      </c>
      <c r="I51" s="43">
        <f>IF($B$8=12,B51,IF($B$8=4,B25,IF($B$8=6,0,IF($B$8=3,0,0))))</f>
        <v>0</v>
      </c>
      <c r="J51" s="43">
        <f>IF($B$8=12,C51,IF($B$8=4,C25,IF($B$8=6,0,IF($B$8=3,0,0))))</f>
        <v>0</v>
      </c>
      <c r="K51" s="68">
        <f>IF($B$8=12,D51,IF($B$8=4,D25,IF($B$8=6,0,IF($B$8=3,0,0))))</f>
        <v>0</v>
      </c>
      <c r="M51" s="4195"/>
      <c r="N51" s="9" t="s">
        <v>20</v>
      </c>
      <c r="O51" s="43">
        <f t="shared" si="9"/>
        <v>0</v>
      </c>
      <c r="P51" s="43">
        <f t="shared" si="9"/>
        <v>0</v>
      </c>
      <c r="Q51" s="44">
        <f t="shared" si="9"/>
        <v>0</v>
      </c>
      <c r="R51" s="68">
        <f t="shared" si="6"/>
        <v>0</v>
      </c>
      <c r="S51" s="51"/>
    </row>
    <row r="52" spans="1:19" ht="15.75" customHeight="1">
      <c r="A52" s="23">
        <v>41</v>
      </c>
      <c r="B52" s="43">
        <f t="shared" si="1"/>
        <v>0</v>
      </c>
      <c r="C52" s="123">
        <f t="shared" si="3"/>
        <v>0</v>
      </c>
      <c r="D52" s="43">
        <f t="shared" si="4"/>
        <v>0</v>
      </c>
      <c r="E52" s="68">
        <f t="shared" si="5"/>
        <v>0</v>
      </c>
      <c r="F52" s="51"/>
      <c r="G52" s="4195"/>
      <c r="H52" s="22" t="s">
        <v>21</v>
      </c>
      <c r="I52" s="43">
        <f>IF($B$8=12,B52,IF($B$8=4,0,IF($B$8=6,B32,IF($B$8=3,B22,0))))</f>
        <v>0</v>
      </c>
      <c r="J52" s="43">
        <f>IF($B$8=12,C52,IF($B$8=4,0,IF($B$8=6,C32,IF($B$8=3,C22,0))))</f>
        <v>0</v>
      </c>
      <c r="K52" s="68">
        <f>IF($B$8=12,D52,IF($B$8=4,0,IF($B$8=6,D32,IF($B$8=3,D22,0))))</f>
        <v>0</v>
      </c>
      <c r="M52" s="4195"/>
      <c r="N52" s="9" t="s">
        <v>21</v>
      </c>
      <c r="O52" s="43">
        <f t="shared" si="9"/>
        <v>0</v>
      </c>
      <c r="P52" s="43">
        <f t="shared" si="9"/>
        <v>0</v>
      </c>
      <c r="Q52" s="44">
        <f t="shared" si="9"/>
        <v>0</v>
      </c>
      <c r="R52" s="68">
        <f t="shared" si="6"/>
        <v>0</v>
      </c>
      <c r="S52" s="51"/>
    </row>
    <row r="53" spans="1:19" ht="15.75" customHeight="1">
      <c r="A53" s="23">
        <v>42</v>
      </c>
      <c r="B53" s="43">
        <f t="shared" si="1"/>
        <v>0</v>
      </c>
      <c r="C53" s="123">
        <f t="shared" si="3"/>
        <v>0</v>
      </c>
      <c r="D53" s="43">
        <f t="shared" si="4"/>
        <v>0</v>
      </c>
      <c r="E53" s="68">
        <f t="shared" si="5"/>
        <v>0</v>
      </c>
      <c r="F53" s="51"/>
      <c r="G53" s="4195"/>
      <c r="H53" s="22" t="s">
        <v>22</v>
      </c>
      <c r="I53" s="43">
        <f>IF($B$8=12,B53,IF($B$8=4,0,IF($B$8=6,0,IF($B$8=3,0,0))))</f>
        <v>0</v>
      </c>
      <c r="J53" s="43">
        <f>IF($B$8=12,C53,IF($B$8=4,0,IF($B$8=6,0,IF($B$8=3,0,0))))</f>
        <v>0</v>
      </c>
      <c r="K53" s="68">
        <f>IF($B$8=12,D53,IF($B$8=4,0,IF($B$8=6,0,IF($B$8=3,0,0))))</f>
        <v>0</v>
      </c>
      <c r="M53" s="4195"/>
      <c r="N53" s="9" t="s">
        <v>22</v>
      </c>
      <c r="O53" s="43">
        <f t="shared" si="9"/>
        <v>0</v>
      </c>
      <c r="P53" s="43">
        <f t="shared" si="9"/>
        <v>0</v>
      </c>
      <c r="Q53" s="44">
        <f t="shared" si="9"/>
        <v>0</v>
      </c>
      <c r="R53" s="68">
        <f t="shared" si="6"/>
        <v>0</v>
      </c>
      <c r="S53" s="51"/>
    </row>
    <row r="54" spans="1:19" ht="15.75" customHeight="1">
      <c r="A54" s="23">
        <v>43</v>
      </c>
      <c r="B54" s="43">
        <f t="shared" si="1"/>
        <v>0</v>
      </c>
      <c r="C54" s="123">
        <f t="shared" si="3"/>
        <v>0</v>
      </c>
      <c r="D54" s="43">
        <f t="shared" si="4"/>
        <v>0</v>
      </c>
      <c r="E54" s="68">
        <f t="shared" si="5"/>
        <v>0</v>
      </c>
      <c r="F54" s="51"/>
      <c r="G54" s="4195"/>
      <c r="H54" s="22" t="s">
        <v>23</v>
      </c>
      <c r="I54" s="43">
        <f>IF($B$8=12,B54,IF($B$8=4,B26,IF($B$8=6,B33,IF($B$8=3,0,IF($B$8=2,B19,0)))))</f>
        <v>0</v>
      </c>
      <c r="J54" s="43">
        <f>IF($B$8=12,C54,IF($B$8=4,C26,IF($B$8=6,C33,IF($B$8=3,0,IF($B$8=2,C19,0)))))</f>
        <v>0</v>
      </c>
      <c r="K54" s="68">
        <f>IF($B$8=12,D54,IF($B$8=4,D26,IF($B$8=6,D33,IF($B$8=3,0,IF($B$8=2,D19,0)))))</f>
        <v>0</v>
      </c>
      <c r="M54" s="4195"/>
      <c r="N54" s="9" t="s">
        <v>23</v>
      </c>
      <c r="O54" s="43">
        <f t="shared" si="9"/>
        <v>0</v>
      </c>
      <c r="P54" s="43">
        <f t="shared" si="9"/>
        <v>0</v>
      </c>
      <c r="Q54" s="44">
        <f t="shared" si="9"/>
        <v>0</v>
      </c>
      <c r="R54" s="68">
        <f t="shared" si="6"/>
        <v>0</v>
      </c>
      <c r="S54" s="51"/>
    </row>
    <row r="55" spans="1:19" ht="15.75" customHeight="1">
      <c r="A55" s="23">
        <v>44</v>
      </c>
      <c r="B55" s="43">
        <f t="shared" si="1"/>
        <v>0</v>
      </c>
      <c r="C55" s="123">
        <f t="shared" si="3"/>
        <v>0</v>
      </c>
      <c r="D55" s="43">
        <f t="shared" si="4"/>
        <v>0</v>
      </c>
      <c r="E55" s="68">
        <f t="shared" si="5"/>
        <v>0</v>
      </c>
      <c r="F55" s="51"/>
      <c r="G55" s="4195"/>
      <c r="H55" s="22" t="s">
        <v>24</v>
      </c>
      <c r="I55" s="43">
        <f>IF($B$8=12,B55,IF($B$8=4,0,IF($B$8=6,0,IF($B$8=3,0,0))))</f>
        <v>0</v>
      </c>
      <c r="J55" s="43">
        <f>IF($B$8=12,C55,IF($B$8=4,0,IF($B$8=6,0,IF($B$8=3,0,0))))</f>
        <v>0</v>
      </c>
      <c r="K55" s="68">
        <f>IF($B$8=12,D55,IF($B$8=4,0,IF($B$8=6,0,IF($B$8=3,0,0))))</f>
        <v>0</v>
      </c>
      <c r="M55" s="4195"/>
      <c r="N55" s="9" t="s">
        <v>24</v>
      </c>
      <c r="O55" s="43">
        <f t="shared" si="9"/>
        <v>0</v>
      </c>
      <c r="P55" s="43">
        <f t="shared" si="9"/>
        <v>0</v>
      </c>
      <c r="Q55" s="44">
        <f t="shared" si="9"/>
        <v>0</v>
      </c>
      <c r="R55" s="68">
        <f t="shared" si="6"/>
        <v>0</v>
      </c>
      <c r="S55" s="51"/>
    </row>
    <row r="56" spans="1:19" ht="15.75" customHeight="1">
      <c r="A56" s="23">
        <v>45</v>
      </c>
      <c r="B56" s="43">
        <f t="shared" si="1"/>
        <v>0</v>
      </c>
      <c r="C56" s="123">
        <f t="shared" si="3"/>
        <v>0</v>
      </c>
      <c r="D56" s="43">
        <f t="shared" si="4"/>
        <v>0</v>
      </c>
      <c r="E56" s="68">
        <f t="shared" si="5"/>
        <v>0</v>
      </c>
      <c r="F56" s="51"/>
      <c r="G56" s="4195"/>
      <c r="H56" s="22" t="s">
        <v>25</v>
      </c>
      <c r="I56" s="43">
        <f>IF($B$8=12,B56,IF($B$8=4,0,IF($B$8=6,B34,IF($B$8=3,B23,0))))</f>
        <v>0</v>
      </c>
      <c r="J56" s="43">
        <f>IF($B$8=12,C56,IF($B$8=4,0,IF($B$8=6,C34,IF($B$8=3,C23,0))))</f>
        <v>0</v>
      </c>
      <c r="K56" s="68">
        <f>IF($B$8=12,D56,IF($B$8=4,0,IF($B$8=6,D34,IF($B$8=3,D23,0))))</f>
        <v>0</v>
      </c>
      <c r="M56" s="4195"/>
      <c r="N56" s="9" t="s">
        <v>25</v>
      </c>
      <c r="O56" s="43">
        <f t="shared" si="9"/>
        <v>0</v>
      </c>
      <c r="P56" s="43">
        <f t="shared" si="9"/>
        <v>0</v>
      </c>
      <c r="Q56" s="44">
        <f t="shared" si="9"/>
        <v>0</v>
      </c>
      <c r="R56" s="68">
        <f t="shared" si="6"/>
        <v>0</v>
      </c>
      <c r="S56" s="51"/>
    </row>
    <row r="57" spans="1:19" ht="15.75" customHeight="1">
      <c r="A57" s="23">
        <v>46</v>
      </c>
      <c r="B57" s="43">
        <f t="shared" si="1"/>
        <v>0</v>
      </c>
      <c r="C57" s="123">
        <f t="shared" si="3"/>
        <v>0</v>
      </c>
      <c r="D57" s="43">
        <f t="shared" si="4"/>
        <v>0</v>
      </c>
      <c r="E57" s="68">
        <f t="shared" si="5"/>
        <v>0</v>
      </c>
      <c r="F57" s="51"/>
      <c r="G57" s="4195"/>
      <c r="H57" s="22" t="s">
        <v>26</v>
      </c>
      <c r="I57" s="43">
        <f>IF($B$8=12,B57,IF($B$8=4,B27,IF($B$8=6,0,IF($B$8=3,0,0))))</f>
        <v>0</v>
      </c>
      <c r="J57" s="43">
        <f>IF($B$8=12,C57,IF($B$8=4,C27,IF($B$8=6,0,IF($B$8=3,0,0))))</f>
        <v>0</v>
      </c>
      <c r="K57" s="68">
        <f>IF($B$8=12,D57,IF($B$8=4,D27,IF($B$8=6,0,IF($B$8=3,0,0))))</f>
        <v>0</v>
      </c>
      <c r="M57" s="4195"/>
      <c r="N57" s="9" t="s">
        <v>26</v>
      </c>
      <c r="O57" s="43">
        <f t="shared" si="9"/>
        <v>0</v>
      </c>
      <c r="P57" s="43">
        <f t="shared" si="9"/>
        <v>0</v>
      </c>
      <c r="Q57" s="44">
        <f t="shared" si="9"/>
        <v>0</v>
      </c>
      <c r="R57" s="68">
        <f t="shared" si="6"/>
        <v>0</v>
      </c>
      <c r="S57" s="51"/>
    </row>
    <row r="58" spans="1:19" ht="15.75" customHeight="1">
      <c r="A58" s="23">
        <v>47</v>
      </c>
      <c r="B58" s="43">
        <f t="shared" si="1"/>
        <v>0</v>
      </c>
      <c r="C58" s="123">
        <f t="shared" si="3"/>
        <v>0</v>
      </c>
      <c r="D58" s="43">
        <f t="shared" si="4"/>
        <v>0</v>
      </c>
      <c r="E58" s="68">
        <f t="shared" si="5"/>
        <v>0</v>
      </c>
      <c r="F58" s="51"/>
      <c r="G58" s="4195"/>
      <c r="H58" s="22" t="s">
        <v>27</v>
      </c>
      <c r="I58" s="43">
        <f>IF($B$8=12,B58,IF($B$8=4,0,IF($B$8=6,B35,IF($B$8=3,0,0))))</f>
        <v>0</v>
      </c>
      <c r="J58" s="43">
        <f>IF($B$8=12,C58,IF($B$8=4,0,IF($B$8=6,C35,IF($B$8=3,0,0))))</f>
        <v>0</v>
      </c>
      <c r="K58" s="68">
        <f>IF($B$8=12,D58,IF($B$8=4,0,IF($B$8=6,D35,IF($B$8=3,0,0))))</f>
        <v>0</v>
      </c>
      <c r="M58" s="4195"/>
      <c r="N58" s="9" t="s">
        <v>27</v>
      </c>
      <c r="O58" s="43">
        <f t="shared" si="9"/>
        <v>0</v>
      </c>
      <c r="P58" s="43">
        <f t="shared" si="9"/>
        <v>0</v>
      </c>
      <c r="Q58" s="44">
        <f t="shared" si="9"/>
        <v>0</v>
      </c>
      <c r="R58" s="68">
        <f t="shared" si="6"/>
        <v>0</v>
      </c>
      <c r="S58" s="51"/>
    </row>
    <row r="59" spans="1:19" ht="15.75" customHeight="1" thickBot="1">
      <c r="A59" s="24">
        <v>48</v>
      </c>
      <c r="B59" s="70">
        <f t="shared" si="1"/>
        <v>0</v>
      </c>
      <c r="C59" s="139">
        <f t="shared" si="3"/>
        <v>0</v>
      </c>
      <c r="D59" s="70">
        <f t="shared" si="4"/>
        <v>0</v>
      </c>
      <c r="E59" s="75">
        <f t="shared" si="5"/>
        <v>0</v>
      </c>
      <c r="F59" s="243">
        <f>SUM(D48:D59)</f>
        <v>0</v>
      </c>
      <c r="G59" s="4196"/>
      <c r="H59" s="25" t="s">
        <v>28</v>
      </c>
      <c r="I59" s="70">
        <f>IF($B$8=12,B59,IF($B$8=4,0,IF($B$8=6,0,IF($B$8=3,0,0))))</f>
        <v>0</v>
      </c>
      <c r="J59" s="70">
        <f>IF($B$8=12,C59,IF($B$8=4,0,IF($B$8=6,0,IF($B$8=3,0,0))))</f>
        <v>0</v>
      </c>
      <c r="K59" s="72">
        <f>IF($B$8=12,D59,IF($B$8=4,0,IF($B$8=6,0,IF($B$8=3,0,0))))</f>
        <v>0</v>
      </c>
      <c r="M59" s="4196"/>
      <c r="N59" s="35" t="s">
        <v>28</v>
      </c>
      <c r="O59" s="45">
        <f t="shared" si="9"/>
        <v>0</v>
      </c>
      <c r="P59" s="45">
        <f t="shared" si="9"/>
        <v>0</v>
      </c>
      <c r="Q59" s="46">
        <f t="shared" si="9"/>
        <v>0</v>
      </c>
      <c r="R59" s="75">
        <f t="shared" si="6"/>
        <v>0</v>
      </c>
      <c r="S59" s="1100">
        <f>SUM(Q48:Q59)</f>
        <v>0</v>
      </c>
    </row>
    <row r="60" spans="1:19" ht="15.75" customHeight="1">
      <c r="A60" s="23">
        <v>49</v>
      </c>
      <c r="B60" s="43">
        <f t="shared" si="1"/>
        <v>0</v>
      </c>
      <c r="C60" s="123">
        <f t="shared" si="3"/>
        <v>0</v>
      </c>
      <c r="D60" s="43">
        <f t="shared" si="4"/>
        <v>0</v>
      </c>
      <c r="E60" s="68">
        <f t="shared" si="5"/>
        <v>0</v>
      </c>
      <c r="F60" s="51"/>
      <c r="G60" s="4194">
        <f>G48+1</f>
        <v>4</v>
      </c>
      <c r="H60" s="22" t="s">
        <v>17</v>
      </c>
      <c r="I60" s="43">
        <f>IF($B$8=12,B60,IF($B$8=4,B28,IF($B$8=6,B36,IF($B$8=3,B24,IF($B$8=2,B20,IF($B$8=1,B16,0))))))</f>
        <v>0</v>
      </c>
      <c r="J60" s="43">
        <f>IF($B$8=12,C60,IF($B$8=4,C28,IF($B$8=6,C36,IF($B$8=3,C24,IF($B$8=2,C20,IF($B$8=1,C16,0))))))</f>
        <v>0</v>
      </c>
      <c r="K60" s="68">
        <f>IF($B$8=12,D60,IF($B$8=4,D28,IF($B$8=6,D36,IF($B$8=3,D24,IF($B$8=2,D20,IF($B$8=1,D16,0))))))</f>
        <v>0</v>
      </c>
      <c r="M60" s="4194">
        <f>M12+4</f>
        <v>4</v>
      </c>
      <c r="N60" s="9" t="s">
        <v>17</v>
      </c>
      <c r="O60" s="76">
        <f t="shared" ref="O60:Q71" si="10">IF($I$6=5,I12,IF($I$6=4,I24,IF($I$6=3,I36,IF($I$6=2,I48,IF($I$6=1,I60,0)))))</f>
        <v>0</v>
      </c>
      <c r="P60" s="76">
        <f t="shared" si="10"/>
        <v>0</v>
      </c>
      <c r="Q60" s="77">
        <f t="shared" si="10"/>
        <v>0</v>
      </c>
      <c r="R60" s="68">
        <f t="shared" si="6"/>
        <v>0</v>
      </c>
      <c r="S60" s="51"/>
    </row>
    <row r="61" spans="1:19" ht="15.75" customHeight="1">
      <c r="A61" s="23">
        <v>50</v>
      </c>
      <c r="B61" s="43">
        <f t="shared" si="1"/>
        <v>0</v>
      </c>
      <c r="C61" s="123">
        <f t="shared" si="3"/>
        <v>0</v>
      </c>
      <c r="D61" s="43">
        <f t="shared" si="4"/>
        <v>0</v>
      </c>
      <c r="E61" s="68">
        <f t="shared" si="5"/>
        <v>0</v>
      </c>
      <c r="F61" s="51"/>
      <c r="G61" s="4195"/>
      <c r="H61" s="22" t="s">
        <v>18</v>
      </c>
      <c r="I61" s="43">
        <f>IF($B$8=12,B61,0)</f>
        <v>0</v>
      </c>
      <c r="J61" s="43">
        <f>IF($B$8=12,C61,0)</f>
        <v>0</v>
      </c>
      <c r="K61" s="68">
        <f>IF($B$8=12,D61,0)</f>
        <v>0</v>
      </c>
      <c r="M61" s="4195"/>
      <c r="N61" s="9" t="s">
        <v>18</v>
      </c>
      <c r="O61" s="43">
        <f t="shared" si="10"/>
        <v>0</v>
      </c>
      <c r="P61" s="43">
        <f t="shared" si="10"/>
        <v>0</v>
      </c>
      <c r="Q61" s="44">
        <f t="shared" si="10"/>
        <v>0</v>
      </c>
      <c r="R61" s="68">
        <f t="shared" si="6"/>
        <v>0</v>
      </c>
      <c r="S61" s="51"/>
    </row>
    <row r="62" spans="1:19" ht="15.75" customHeight="1">
      <c r="A62" s="23">
        <v>51</v>
      </c>
      <c r="B62" s="43">
        <f t="shared" si="1"/>
        <v>0</v>
      </c>
      <c r="C62" s="123">
        <f t="shared" si="3"/>
        <v>0</v>
      </c>
      <c r="D62" s="43">
        <f t="shared" si="4"/>
        <v>0</v>
      </c>
      <c r="E62" s="68">
        <f t="shared" si="5"/>
        <v>0</v>
      </c>
      <c r="F62" s="51"/>
      <c r="G62" s="4195"/>
      <c r="H62" s="22" t="s">
        <v>19</v>
      </c>
      <c r="I62" s="43">
        <f>IF($B$8=12,B62,IF($B$8=6,B37,0))</f>
        <v>0</v>
      </c>
      <c r="J62" s="43">
        <f>IF($B$8=12,C62,IF($B$8=6,C37,0))</f>
        <v>0</v>
      </c>
      <c r="K62" s="68">
        <f>IF($B$8=12,D62,IF($B$8=6,D37,0))</f>
        <v>0</v>
      </c>
      <c r="M62" s="4195"/>
      <c r="N62" s="9" t="s">
        <v>19</v>
      </c>
      <c r="O62" s="43">
        <f t="shared" si="10"/>
        <v>0</v>
      </c>
      <c r="P62" s="43">
        <f t="shared" si="10"/>
        <v>0</v>
      </c>
      <c r="Q62" s="44">
        <f t="shared" si="10"/>
        <v>0</v>
      </c>
      <c r="R62" s="68">
        <f t="shared" si="6"/>
        <v>0</v>
      </c>
      <c r="S62" s="51"/>
    </row>
    <row r="63" spans="1:19" ht="15.75" customHeight="1">
      <c r="A63" s="23">
        <v>52</v>
      </c>
      <c r="B63" s="43">
        <f t="shared" si="1"/>
        <v>0</v>
      </c>
      <c r="C63" s="123">
        <f t="shared" si="3"/>
        <v>0</v>
      </c>
      <c r="D63" s="43">
        <f t="shared" si="4"/>
        <v>0</v>
      </c>
      <c r="E63" s="68">
        <f t="shared" si="5"/>
        <v>0</v>
      </c>
      <c r="F63" s="51"/>
      <c r="G63" s="4195"/>
      <c r="H63" s="22" t="s">
        <v>20</v>
      </c>
      <c r="I63" s="43">
        <f>IF($B$8=12,B63,IF($B$8=4,B29,IF($B$8=6,0,IF($B$8=3,0,0))))</f>
        <v>0</v>
      </c>
      <c r="J63" s="43">
        <f>IF($B$8=12,C63,IF($B$8=4,C29,IF($B$8=6,0,IF($B$8=3,0,0))))</f>
        <v>0</v>
      </c>
      <c r="K63" s="68">
        <f>IF($B$8=12,D63,IF($B$8=4,D29,IF($B$8=6,0,IF($B$8=3,0,0))))</f>
        <v>0</v>
      </c>
      <c r="M63" s="4195"/>
      <c r="N63" s="9" t="s">
        <v>20</v>
      </c>
      <c r="O63" s="43">
        <f t="shared" si="10"/>
        <v>0</v>
      </c>
      <c r="P63" s="43">
        <f t="shared" si="10"/>
        <v>0</v>
      </c>
      <c r="Q63" s="44">
        <f t="shared" si="10"/>
        <v>0</v>
      </c>
      <c r="R63" s="68">
        <f t="shared" si="6"/>
        <v>0</v>
      </c>
      <c r="S63" s="51"/>
    </row>
    <row r="64" spans="1:19" ht="15.75" customHeight="1">
      <c r="A64" s="23">
        <v>53</v>
      </c>
      <c r="B64" s="43">
        <f t="shared" si="1"/>
        <v>0</v>
      </c>
      <c r="C64" s="123">
        <f t="shared" si="3"/>
        <v>0</v>
      </c>
      <c r="D64" s="43">
        <f t="shared" si="4"/>
        <v>0</v>
      </c>
      <c r="E64" s="68">
        <f t="shared" si="5"/>
        <v>0</v>
      </c>
      <c r="F64" s="51"/>
      <c r="G64" s="4195"/>
      <c r="H64" s="22" t="s">
        <v>21</v>
      </c>
      <c r="I64" s="43">
        <f>IF($B$8=12,B64,IF($B$8=4,0,IF($B$8=6,B38,IF($B$8=3,B25,0))))</f>
        <v>0</v>
      </c>
      <c r="J64" s="43">
        <f>IF($B$8=12,C64,IF($B$8=4,0,IF($B$8=6,C38,IF($B$8=3,C25,0))))</f>
        <v>0</v>
      </c>
      <c r="K64" s="68">
        <f>IF($B$8=12,D64,IF($B$8=4,0,IF($B$8=6,D38,IF($B$8=3,D25,0))))</f>
        <v>0</v>
      </c>
      <c r="M64" s="4195"/>
      <c r="N64" s="9" t="s">
        <v>21</v>
      </c>
      <c r="O64" s="43">
        <f t="shared" si="10"/>
        <v>0</v>
      </c>
      <c r="P64" s="43">
        <f t="shared" si="10"/>
        <v>0</v>
      </c>
      <c r="Q64" s="44">
        <f t="shared" si="10"/>
        <v>0</v>
      </c>
      <c r="R64" s="68">
        <f t="shared" si="6"/>
        <v>0</v>
      </c>
      <c r="S64" s="51"/>
    </row>
    <row r="65" spans="1:19" ht="15.75" customHeight="1">
      <c r="A65" s="23">
        <v>54</v>
      </c>
      <c r="B65" s="43">
        <f t="shared" si="1"/>
        <v>0</v>
      </c>
      <c r="C65" s="123">
        <f t="shared" si="3"/>
        <v>0</v>
      </c>
      <c r="D65" s="43">
        <f t="shared" si="4"/>
        <v>0</v>
      </c>
      <c r="E65" s="68">
        <f t="shared" si="5"/>
        <v>0</v>
      </c>
      <c r="F65" s="51"/>
      <c r="G65" s="4195"/>
      <c r="H65" s="22" t="s">
        <v>22</v>
      </c>
      <c r="I65" s="43">
        <f>IF($B$8=12,B65,IF($B$8=4,0,IF($B$8=6,0,IF($B$8=3,0,0))))</f>
        <v>0</v>
      </c>
      <c r="J65" s="43">
        <f>IF($B$8=12,C65,IF($B$8=4,0,IF($B$8=6,0,IF($B$8=3,0,0))))</f>
        <v>0</v>
      </c>
      <c r="K65" s="68">
        <f>IF($B$8=12,D65,IF($B$8=4,0,IF($B$8=6,0,IF($B$8=3,0,0))))</f>
        <v>0</v>
      </c>
      <c r="M65" s="4195"/>
      <c r="N65" s="9" t="s">
        <v>22</v>
      </c>
      <c r="O65" s="43">
        <f t="shared" si="10"/>
        <v>0</v>
      </c>
      <c r="P65" s="43">
        <f t="shared" si="10"/>
        <v>0</v>
      </c>
      <c r="Q65" s="44">
        <f t="shared" si="10"/>
        <v>0</v>
      </c>
      <c r="R65" s="68">
        <f t="shared" si="6"/>
        <v>0</v>
      </c>
      <c r="S65" s="51"/>
    </row>
    <row r="66" spans="1:19" ht="15.75" customHeight="1">
      <c r="A66" s="23">
        <v>55</v>
      </c>
      <c r="B66" s="43">
        <f t="shared" si="1"/>
        <v>0</v>
      </c>
      <c r="C66" s="123">
        <f t="shared" si="3"/>
        <v>0</v>
      </c>
      <c r="D66" s="43">
        <f t="shared" si="4"/>
        <v>0</v>
      </c>
      <c r="E66" s="68">
        <f t="shared" si="5"/>
        <v>0</v>
      </c>
      <c r="F66" s="51"/>
      <c r="G66" s="4195"/>
      <c r="H66" s="22" t="s">
        <v>23</v>
      </c>
      <c r="I66" s="43">
        <f>IF($B$8=12,B66,IF($B$8=4,B30,IF($B$8=6,B39,IF($B$8=3,0,IF($B$8=2,B21,0)))))</f>
        <v>0</v>
      </c>
      <c r="J66" s="43">
        <f>IF($B$8=12,C66,IF($B$8=4,C30,IF($B$8=6,C39,IF($B$8=3,0,IF($B$8=2,C21,0)))))</f>
        <v>0</v>
      </c>
      <c r="K66" s="68">
        <f>IF($B$8=12,D66,IF($B$8=4,D30,IF($B$8=6,D39,IF($B$8=3,0,IF($B$8=2,D21,0)))))</f>
        <v>0</v>
      </c>
      <c r="M66" s="4195"/>
      <c r="N66" s="9" t="s">
        <v>23</v>
      </c>
      <c r="O66" s="43">
        <f t="shared" si="10"/>
        <v>0</v>
      </c>
      <c r="P66" s="43">
        <f t="shared" si="10"/>
        <v>0</v>
      </c>
      <c r="Q66" s="44">
        <f t="shared" si="10"/>
        <v>0</v>
      </c>
      <c r="R66" s="68">
        <f t="shared" si="6"/>
        <v>0</v>
      </c>
      <c r="S66" s="51"/>
    </row>
    <row r="67" spans="1:19" ht="15.75" customHeight="1">
      <c r="A67" s="23">
        <v>56</v>
      </c>
      <c r="B67" s="43">
        <f t="shared" si="1"/>
        <v>0</v>
      </c>
      <c r="C67" s="123">
        <f t="shared" si="3"/>
        <v>0</v>
      </c>
      <c r="D67" s="43">
        <f t="shared" si="4"/>
        <v>0</v>
      </c>
      <c r="E67" s="68">
        <f t="shared" si="5"/>
        <v>0</v>
      </c>
      <c r="F67" s="51"/>
      <c r="G67" s="4195"/>
      <c r="H67" s="22" t="s">
        <v>24</v>
      </c>
      <c r="I67" s="43">
        <f>IF($B$8=12,B67,IF($B$8=4,0,IF($B$8=6,0,IF($B$8=3,0,0))))</f>
        <v>0</v>
      </c>
      <c r="J67" s="43">
        <f>IF($B$8=12,C67,IF($B$8=4,0,IF($B$8=6,0,IF($B$8=3,0,0))))</f>
        <v>0</v>
      </c>
      <c r="K67" s="68">
        <f>IF($B$8=12,D67,IF($B$8=4,0,IF($B$8=6,0,IF($B$8=3,0,0))))</f>
        <v>0</v>
      </c>
      <c r="M67" s="4195"/>
      <c r="N67" s="9" t="s">
        <v>24</v>
      </c>
      <c r="O67" s="43">
        <f t="shared" si="10"/>
        <v>0</v>
      </c>
      <c r="P67" s="43">
        <f t="shared" si="10"/>
        <v>0</v>
      </c>
      <c r="Q67" s="44">
        <f t="shared" si="10"/>
        <v>0</v>
      </c>
      <c r="R67" s="68">
        <f t="shared" si="6"/>
        <v>0</v>
      </c>
      <c r="S67" s="51"/>
    </row>
    <row r="68" spans="1:19" ht="15.75" customHeight="1">
      <c r="A68" s="23">
        <v>57</v>
      </c>
      <c r="B68" s="43">
        <f t="shared" si="1"/>
        <v>0</v>
      </c>
      <c r="C68" s="123">
        <f t="shared" si="3"/>
        <v>0</v>
      </c>
      <c r="D68" s="43">
        <f t="shared" si="4"/>
        <v>0</v>
      </c>
      <c r="E68" s="68">
        <f t="shared" si="5"/>
        <v>0</v>
      </c>
      <c r="F68" s="51"/>
      <c r="G68" s="4195"/>
      <c r="H68" s="22" t="s">
        <v>25</v>
      </c>
      <c r="I68" s="43">
        <f>IF($B$8=12,B68,IF($B$8=4,0,IF($B$8=6,B40,IF($B$8=3,B26,0))))</f>
        <v>0</v>
      </c>
      <c r="J68" s="43">
        <f>IF($B$8=12,C68,IF($B$8=4,0,IF($B$8=6,C40,IF($B$8=3,C26,0))))</f>
        <v>0</v>
      </c>
      <c r="K68" s="68">
        <f>IF($B$8=12,D68,IF($B$8=4,0,IF($B$8=6,D40,IF($B$8=3,D26,0))))</f>
        <v>0</v>
      </c>
      <c r="M68" s="4195"/>
      <c r="N68" s="9" t="s">
        <v>25</v>
      </c>
      <c r="O68" s="43">
        <f t="shared" si="10"/>
        <v>0</v>
      </c>
      <c r="P68" s="43">
        <f t="shared" si="10"/>
        <v>0</v>
      </c>
      <c r="Q68" s="44">
        <f t="shared" si="10"/>
        <v>0</v>
      </c>
      <c r="R68" s="68">
        <f t="shared" si="6"/>
        <v>0</v>
      </c>
      <c r="S68" s="51"/>
    </row>
    <row r="69" spans="1:19" ht="15.75" customHeight="1">
      <c r="A69" s="23">
        <v>58</v>
      </c>
      <c r="B69" s="43">
        <f t="shared" si="1"/>
        <v>0</v>
      </c>
      <c r="C69" s="123">
        <f t="shared" si="3"/>
        <v>0</v>
      </c>
      <c r="D69" s="43">
        <f t="shared" si="4"/>
        <v>0</v>
      </c>
      <c r="E69" s="68">
        <f t="shared" si="5"/>
        <v>0</v>
      </c>
      <c r="F69" s="51"/>
      <c r="G69" s="4195"/>
      <c r="H69" s="22" t="s">
        <v>26</v>
      </c>
      <c r="I69" s="43">
        <f>IF($B$8=12,B69,IF($B$8=4,B31,IF($B$8=6,0,IF($B$8=3,0,0))))</f>
        <v>0</v>
      </c>
      <c r="J69" s="43">
        <f>IF($B$8=12,C69,IF($B$8=4,C31,IF($B$8=6,0,IF($B$8=3,0,0))))</f>
        <v>0</v>
      </c>
      <c r="K69" s="68">
        <f>IF($B$8=12,D69,IF($B$8=4,D31,IF($B$8=6,0,IF($B$8=3,0,0))))</f>
        <v>0</v>
      </c>
      <c r="M69" s="4195"/>
      <c r="N69" s="9" t="s">
        <v>26</v>
      </c>
      <c r="O69" s="43">
        <f t="shared" si="10"/>
        <v>0</v>
      </c>
      <c r="P69" s="43">
        <f t="shared" si="10"/>
        <v>0</v>
      </c>
      <c r="Q69" s="44">
        <f t="shared" si="10"/>
        <v>0</v>
      </c>
      <c r="R69" s="68">
        <f t="shared" si="6"/>
        <v>0</v>
      </c>
      <c r="S69" s="51"/>
    </row>
    <row r="70" spans="1:19" ht="15.75" customHeight="1">
      <c r="A70" s="23">
        <v>59</v>
      </c>
      <c r="B70" s="43">
        <f t="shared" si="1"/>
        <v>0</v>
      </c>
      <c r="C70" s="123">
        <f t="shared" si="3"/>
        <v>0</v>
      </c>
      <c r="D70" s="43">
        <f t="shared" si="4"/>
        <v>0</v>
      </c>
      <c r="E70" s="68">
        <f t="shared" si="5"/>
        <v>0</v>
      </c>
      <c r="F70" s="51"/>
      <c r="G70" s="4195"/>
      <c r="H70" s="22" t="s">
        <v>27</v>
      </c>
      <c r="I70" s="43">
        <f>IF($B$8=12,B70,IF($B$8=4,0,IF($B$8=6,B41,IF($B$8=3,0,0))))</f>
        <v>0</v>
      </c>
      <c r="J70" s="43">
        <f>IF($B$8=12,C70,IF($B$8=4,0,IF($B$8=6,C41,IF($B$8=3,0,0))))</f>
        <v>0</v>
      </c>
      <c r="K70" s="68">
        <f>IF($B$8=12,D70,IF($B$8=4,0,IF($B$8=6,D41,IF($B$8=3,0,0))))</f>
        <v>0</v>
      </c>
      <c r="M70" s="4195"/>
      <c r="N70" s="9" t="s">
        <v>27</v>
      </c>
      <c r="O70" s="43">
        <f t="shared" si="10"/>
        <v>0</v>
      </c>
      <c r="P70" s="43">
        <f t="shared" si="10"/>
        <v>0</v>
      </c>
      <c r="Q70" s="44">
        <f t="shared" si="10"/>
        <v>0</v>
      </c>
      <c r="R70" s="68">
        <f t="shared" si="6"/>
        <v>0</v>
      </c>
      <c r="S70" s="51"/>
    </row>
    <row r="71" spans="1:19" ht="15.75" customHeight="1" thickBot="1">
      <c r="A71" s="26">
        <v>60</v>
      </c>
      <c r="B71" s="48">
        <f t="shared" si="1"/>
        <v>0</v>
      </c>
      <c r="C71" s="138">
        <f t="shared" si="3"/>
        <v>0</v>
      </c>
      <c r="D71" s="48">
        <f t="shared" si="4"/>
        <v>0</v>
      </c>
      <c r="E71" s="49">
        <f t="shared" si="5"/>
        <v>0</v>
      </c>
      <c r="F71" s="243">
        <f>SUM(D60:D71)</f>
        <v>0</v>
      </c>
      <c r="G71" s="4196"/>
      <c r="H71" s="38" t="s">
        <v>28</v>
      </c>
      <c r="I71" s="48">
        <f>IF($B$8=12,B71,IF($B$8=4,0,IF($B$8=6,0,IF($B$8=3,0,0))))</f>
        <v>0</v>
      </c>
      <c r="J71" s="48">
        <f>IF($B$8=12,C71,IF($B$8=4,0,IF($B$8=6,0,IF($B$8=3,0,0))))</f>
        <v>0</v>
      </c>
      <c r="K71" s="79">
        <f>IF($B$8=12,D71,IF($B$8=4,0,IF($B$8=6,0,IF($B$8=3,0,0))))</f>
        <v>0</v>
      </c>
      <c r="M71" s="4196"/>
      <c r="N71" s="36" t="s">
        <v>28</v>
      </c>
      <c r="O71" s="48">
        <f t="shared" si="10"/>
        <v>0</v>
      </c>
      <c r="P71" s="48">
        <f t="shared" si="10"/>
        <v>0</v>
      </c>
      <c r="Q71" s="49">
        <f t="shared" si="10"/>
        <v>0</v>
      </c>
      <c r="R71" s="49">
        <f t="shared" si="6"/>
        <v>0</v>
      </c>
      <c r="S71" s="1100">
        <f>SUM(Q60:Q71)</f>
        <v>0</v>
      </c>
    </row>
    <row r="72" spans="1:19" ht="16.5" thickTop="1">
      <c r="A72" s="23">
        <v>61</v>
      </c>
      <c r="B72" s="43">
        <f t="shared" ref="B72:B83" si="11">IF(A72&gt;$I$9,IF(E71&gt;1,PMT($B$6/$B$8,$B$7*$B$8,-$B$5),0),0)</f>
        <v>0</v>
      </c>
      <c r="C72" s="123">
        <f t="shared" ref="C72:C83" si="12">IF(B72&gt;0,B72-D72,E72*($B$6/$B$8))</f>
        <v>0</v>
      </c>
      <c r="D72" s="43">
        <f t="shared" ref="D72:D83" si="13">IF(A72&gt;$I$9,B72-(E71*($B$6/$B$8)),0)</f>
        <v>0</v>
      </c>
      <c r="E72" s="44">
        <f t="shared" ref="E72:E83" si="14">IF((E71-D72)&gt;0,E71-D72,0)</f>
        <v>0</v>
      </c>
      <c r="F72" s="51"/>
      <c r="H72" s="22" t="s">
        <v>17</v>
      </c>
      <c r="I72" s="43">
        <f t="shared" ref="I72:I83" si="15">IF($B$8=12,B72,IF($B$8=4,0,IF($B$8=6,0,IF($B$8=3,0,0))))</f>
        <v>0</v>
      </c>
      <c r="J72" s="43">
        <f t="shared" ref="J72:J83" si="16">IF($B$8=12,C72,IF($B$8=4,0,IF($B$8=6,0,IF($B$8=3,0,0))))</f>
        <v>0</v>
      </c>
      <c r="K72" s="68">
        <f t="shared" ref="K72:K83" si="17">IF($B$8=12,D72,IF($B$8=4,0,IF($B$8=6,0,IF($B$8=3,0,0))))</f>
        <v>0</v>
      </c>
      <c r="N72" s="9" t="s">
        <v>17</v>
      </c>
      <c r="O72" s="43">
        <f t="shared" ref="O72:O83" si="18">IF($I$6=5,I24,IF($I$6=4,I36,IF($I$6=3,I48,IF($I$6=2,I60,IF($I$6=1,I72,0)))))</f>
        <v>0</v>
      </c>
      <c r="P72" s="43">
        <f t="shared" ref="P72:P83" si="19">IF($I$6=5,J24,IF($I$6=4,J36,IF($I$6=3,J48,IF($I$6=2,J60,IF($I$6=1,J72,0)))))</f>
        <v>0</v>
      </c>
      <c r="Q72" s="44">
        <f t="shared" ref="Q72:Q83" si="20">IF($I$6=5,K24,IF($I$6=4,K36,IF($I$6=3,K48,IF($I$6=2,K60,IF($I$6=1,K72,0)))))</f>
        <v>0</v>
      </c>
      <c r="R72" s="44">
        <f t="shared" si="6"/>
        <v>0</v>
      </c>
      <c r="S72" s="51"/>
    </row>
    <row r="73" spans="1:19">
      <c r="A73" s="23">
        <v>62</v>
      </c>
      <c r="B73" s="43">
        <f t="shared" si="11"/>
        <v>0</v>
      </c>
      <c r="C73" s="123">
        <f t="shared" si="12"/>
        <v>0</v>
      </c>
      <c r="D73" s="43">
        <f t="shared" si="13"/>
        <v>0</v>
      </c>
      <c r="E73" s="44">
        <f t="shared" si="14"/>
        <v>0</v>
      </c>
      <c r="F73"/>
      <c r="H73" s="22" t="s">
        <v>18</v>
      </c>
      <c r="I73" s="43">
        <f t="shared" si="15"/>
        <v>0</v>
      </c>
      <c r="J73" s="43">
        <f t="shared" si="16"/>
        <v>0</v>
      </c>
      <c r="K73" s="68">
        <f t="shared" si="17"/>
        <v>0</v>
      </c>
      <c r="N73" s="9" t="s">
        <v>18</v>
      </c>
      <c r="O73" s="43">
        <f t="shared" si="18"/>
        <v>0</v>
      </c>
      <c r="P73" s="43">
        <f t="shared" si="19"/>
        <v>0</v>
      </c>
      <c r="Q73" s="44">
        <f t="shared" si="20"/>
        <v>0</v>
      </c>
      <c r="R73" s="44">
        <f t="shared" si="6"/>
        <v>0</v>
      </c>
      <c r="S73"/>
    </row>
    <row r="74" spans="1:19">
      <c r="A74" s="23">
        <v>63</v>
      </c>
      <c r="B74" s="43">
        <f t="shared" si="11"/>
        <v>0</v>
      </c>
      <c r="C74" s="123">
        <f t="shared" si="12"/>
        <v>0</v>
      </c>
      <c r="D74" s="43">
        <f t="shared" si="13"/>
        <v>0</v>
      </c>
      <c r="E74" s="44">
        <f t="shared" si="14"/>
        <v>0</v>
      </c>
      <c r="F74"/>
      <c r="H74" s="22" t="s">
        <v>19</v>
      </c>
      <c r="I74" s="43">
        <f t="shared" si="15"/>
        <v>0</v>
      </c>
      <c r="J74" s="43">
        <f t="shared" si="16"/>
        <v>0</v>
      </c>
      <c r="K74" s="68">
        <f t="shared" si="17"/>
        <v>0</v>
      </c>
      <c r="N74" s="9" t="s">
        <v>19</v>
      </c>
      <c r="O74" s="43">
        <f t="shared" si="18"/>
        <v>0</v>
      </c>
      <c r="P74" s="43">
        <f t="shared" si="19"/>
        <v>0</v>
      </c>
      <c r="Q74" s="44">
        <f t="shared" si="20"/>
        <v>0</v>
      </c>
      <c r="R74" s="44">
        <f t="shared" si="6"/>
        <v>0</v>
      </c>
      <c r="S74"/>
    </row>
    <row r="75" spans="1:19">
      <c r="A75" s="23">
        <v>64</v>
      </c>
      <c r="B75" s="43">
        <f t="shared" si="11"/>
        <v>0</v>
      </c>
      <c r="C75" s="123">
        <f t="shared" si="12"/>
        <v>0</v>
      </c>
      <c r="D75" s="43">
        <f t="shared" si="13"/>
        <v>0</v>
      </c>
      <c r="E75" s="44">
        <f t="shared" si="14"/>
        <v>0</v>
      </c>
      <c r="F75"/>
      <c r="H75" s="22" t="s">
        <v>20</v>
      </c>
      <c r="I75" s="43">
        <f t="shared" si="15"/>
        <v>0</v>
      </c>
      <c r="J75" s="43">
        <f t="shared" si="16"/>
        <v>0</v>
      </c>
      <c r="K75" s="68">
        <f t="shared" si="17"/>
        <v>0</v>
      </c>
      <c r="N75" s="9" t="s">
        <v>20</v>
      </c>
      <c r="O75" s="43">
        <f t="shared" si="18"/>
        <v>0</v>
      </c>
      <c r="P75" s="43">
        <f t="shared" si="19"/>
        <v>0</v>
      </c>
      <c r="Q75" s="44">
        <f t="shared" si="20"/>
        <v>0</v>
      </c>
      <c r="R75" s="44">
        <f t="shared" si="6"/>
        <v>0</v>
      </c>
      <c r="S75"/>
    </row>
    <row r="76" spans="1:19">
      <c r="A76" s="23">
        <v>65</v>
      </c>
      <c r="B76" s="43">
        <f t="shared" si="11"/>
        <v>0</v>
      </c>
      <c r="C76" s="123">
        <f t="shared" si="12"/>
        <v>0</v>
      </c>
      <c r="D76" s="43">
        <f t="shared" si="13"/>
        <v>0</v>
      </c>
      <c r="E76" s="44">
        <f t="shared" si="14"/>
        <v>0</v>
      </c>
      <c r="F76"/>
      <c r="H76" s="22" t="s">
        <v>21</v>
      </c>
      <c r="I76" s="43">
        <f t="shared" si="15"/>
        <v>0</v>
      </c>
      <c r="J76" s="43">
        <f t="shared" si="16"/>
        <v>0</v>
      </c>
      <c r="K76" s="68">
        <f t="shared" si="17"/>
        <v>0</v>
      </c>
      <c r="N76" s="9" t="s">
        <v>21</v>
      </c>
      <c r="O76" s="43">
        <f t="shared" si="18"/>
        <v>0</v>
      </c>
      <c r="P76" s="43">
        <f t="shared" si="19"/>
        <v>0</v>
      </c>
      <c r="Q76" s="44">
        <f t="shared" si="20"/>
        <v>0</v>
      </c>
      <c r="R76" s="44">
        <f t="shared" si="6"/>
        <v>0</v>
      </c>
      <c r="S76"/>
    </row>
    <row r="77" spans="1:19">
      <c r="A77" s="23">
        <v>66</v>
      </c>
      <c r="B77" s="43">
        <f t="shared" si="11"/>
        <v>0</v>
      </c>
      <c r="C77" s="123">
        <f t="shared" si="12"/>
        <v>0</v>
      </c>
      <c r="D77" s="43">
        <f t="shared" si="13"/>
        <v>0</v>
      </c>
      <c r="E77" s="44">
        <f t="shared" si="14"/>
        <v>0</v>
      </c>
      <c r="F77"/>
      <c r="H77" s="22" t="s">
        <v>22</v>
      </c>
      <c r="I77" s="43">
        <f t="shared" si="15"/>
        <v>0</v>
      </c>
      <c r="J77" s="43">
        <f t="shared" si="16"/>
        <v>0</v>
      </c>
      <c r="K77" s="68">
        <f t="shared" si="17"/>
        <v>0</v>
      </c>
      <c r="N77" s="9" t="s">
        <v>22</v>
      </c>
      <c r="O77" s="43">
        <f t="shared" si="18"/>
        <v>0</v>
      </c>
      <c r="P77" s="43">
        <f t="shared" si="19"/>
        <v>0</v>
      </c>
      <c r="Q77" s="44">
        <f t="shared" si="20"/>
        <v>0</v>
      </c>
      <c r="R77" s="44">
        <f t="shared" si="6"/>
        <v>0</v>
      </c>
      <c r="S77"/>
    </row>
    <row r="78" spans="1:19">
      <c r="A78" s="23">
        <v>67</v>
      </c>
      <c r="B78" s="43">
        <f t="shared" si="11"/>
        <v>0</v>
      </c>
      <c r="C78" s="123">
        <f t="shared" si="12"/>
        <v>0</v>
      </c>
      <c r="D78" s="43">
        <f t="shared" si="13"/>
        <v>0</v>
      </c>
      <c r="E78" s="44">
        <f t="shared" si="14"/>
        <v>0</v>
      </c>
      <c r="F78"/>
      <c r="H78" s="22" t="s">
        <v>23</v>
      </c>
      <c r="I78" s="43">
        <f t="shared" si="15"/>
        <v>0</v>
      </c>
      <c r="J78" s="43">
        <f t="shared" si="16"/>
        <v>0</v>
      </c>
      <c r="K78" s="68">
        <f t="shared" si="17"/>
        <v>0</v>
      </c>
      <c r="N78" s="9" t="s">
        <v>23</v>
      </c>
      <c r="O78" s="43">
        <f t="shared" si="18"/>
        <v>0</v>
      </c>
      <c r="P78" s="43">
        <f t="shared" si="19"/>
        <v>0</v>
      </c>
      <c r="Q78" s="44">
        <f t="shared" si="20"/>
        <v>0</v>
      </c>
      <c r="R78" s="44">
        <f t="shared" ref="R78:R83" si="21">IF((R77-Q78)&gt;0,R77-Q78,0)</f>
        <v>0</v>
      </c>
      <c r="S78"/>
    </row>
    <row r="79" spans="1:19">
      <c r="A79" s="23">
        <v>68</v>
      </c>
      <c r="B79" s="43">
        <f t="shared" si="11"/>
        <v>0</v>
      </c>
      <c r="C79" s="123">
        <f t="shared" si="12"/>
        <v>0</v>
      </c>
      <c r="D79" s="43">
        <f t="shared" si="13"/>
        <v>0</v>
      </c>
      <c r="E79" s="44">
        <f t="shared" si="14"/>
        <v>0</v>
      </c>
      <c r="F79"/>
      <c r="H79" s="22" t="s">
        <v>24</v>
      </c>
      <c r="I79" s="43">
        <f t="shared" si="15"/>
        <v>0</v>
      </c>
      <c r="J79" s="43">
        <f t="shared" si="16"/>
        <v>0</v>
      </c>
      <c r="K79" s="68">
        <f t="shared" si="17"/>
        <v>0</v>
      </c>
      <c r="N79" s="9" t="s">
        <v>24</v>
      </c>
      <c r="O79" s="43">
        <f t="shared" si="18"/>
        <v>0</v>
      </c>
      <c r="P79" s="43">
        <f t="shared" si="19"/>
        <v>0</v>
      </c>
      <c r="Q79" s="44">
        <f t="shared" si="20"/>
        <v>0</v>
      </c>
      <c r="R79" s="44">
        <f t="shared" si="21"/>
        <v>0</v>
      </c>
      <c r="S79"/>
    </row>
    <row r="80" spans="1:19">
      <c r="A80" s="23">
        <v>69</v>
      </c>
      <c r="B80" s="43">
        <f t="shared" si="11"/>
        <v>0</v>
      </c>
      <c r="C80" s="123">
        <f t="shared" si="12"/>
        <v>0</v>
      </c>
      <c r="D80" s="43">
        <f t="shared" si="13"/>
        <v>0</v>
      </c>
      <c r="E80" s="44">
        <f t="shared" si="14"/>
        <v>0</v>
      </c>
      <c r="F80"/>
      <c r="H80" s="22" t="s">
        <v>25</v>
      </c>
      <c r="I80" s="43">
        <f t="shared" si="15"/>
        <v>0</v>
      </c>
      <c r="J80" s="43">
        <f t="shared" si="16"/>
        <v>0</v>
      </c>
      <c r="K80" s="68">
        <f t="shared" si="17"/>
        <v>0</v>
      </c>
      <c r="N80" s="9" t="s">
        <v>25</v>
      </c>
      <c r="O80" s="43">
        <f t="shared" si="18"/>
        <v>0</v>
      </c>
      <c r="P80" s="43">
        <f t="shared" si="19"/>
        <v>0</v>
      </c>
      <c r="Q80" s="44">
        <f t="shared" si="20"/>
        <v>0</v>
      </c>
      <c r="R80" s="44">
        <f t="shared" si="21"/>
        <v>0</v>
      </c>
      <c r="S80"/>
    </row>
    <row r="81" spans="1:19">
      <c r="A81" s="23">
        <v>70</v>
      </c>
      <c r="B81" s="43">
        <f t="shared" si="11"/>
        <v>0</v>
      </c>
      <c r="C81" s="123">
        <f t="shared" si="12"/>
        <v>0</v>
      </c>
      <c r="D81" s="43">
        <f t="shared" si="13"/>
        <v>0</v>
      </c>
      <c r="E81" s="44">
        <f t="shared" si="14"/>
        <v>0</v>
      </c>
      <c r="F81"/>
      <c r="H81" s="22" t="s">
        <v>26</v>
      </c>
      <c r="I81" s="43">
        <f t="shared" si="15"/>
        <v>0</v>
      </c>
      <c r="J81" s="43">
        <f t="shared" si="16"/>
        <v>0</v>
      </c>
      <c r="K81" s="68">
        <f t="shared" si="17"/>
        <v>0</v>
      </c>
      <c r="N81" s="9" t="s">
        <v>26</v>
      </c>
      <c r="O81" s="43">
        <f t="shared" si="18"/>
        <v>0</v>
      </c>
      <c r="P81" s="43">
        <f t="shared" si="19"/>
        <v>0</v>
      </c>
      <c r="Q81" s="44">
        <f t="shared" si="20"/>
        <v>0</v>
      </c>
      <c r="R81" s="44">
        <f t="shared" si="21"/>
        <v>0</v>
      </c>
      <c r="S81"/>
    </row>
    <row r="82" spans="1:19">
      <c r="A82" s="23">
        <v>71</v>
      </c>
      <c r="B82" s="43">
        <f t="shared" si="11"/>
        <v>0</v>
      </c>
      <c r="C82" s="123">
        <f t="shared" si="12"/>
        <v>0</v>
      </c>
      <c r="D82" s="43">
        <f t="shared" si="13"/>
        <v>0</v>
      </c>
      <c r="E82" s="44">
        <f t="shared" si="14"/>
        <v>0</v>
      </c>
      <c r="F82"/>
      <c r="H82" s="22" t="s">
        <v>27</v>
      </c>
      <c r="I82" s="43">
        <f t="shared" si="15"/>
        <v>0</v>
      </c>
      <c r="J82" s="43">
        <f t="shared" si="16"/>
        <v>0</v>
      </c>
      <c r="K82" s="68">
        <f t="shared" si="17"/>
        <v>0</v>
      </c>
      <c r="N82" s="9" t="s">
        <v>27</v>
      </c>
      <c r="O82" s="43">
        <f t="shared" si="18"/>
        <v>0</v>
      </c>
      <c r="P82" s="43">
        <f t="shared" si="19"/>
        <v>0</v>
      </c>
      <c r="Q82" s="44">
        <f t="shared" si="20"/>
        <v>0</v>
      </c>
      <c r="R82" s="44">
        <f t="shared" si="21"/>
        <v>0</v>
      </c>
      <c r="S82"/>
    </row>
    <row r="83" spans="1:19" ht="16.5" thickBot="1">
      <c r="A83" s="26">
        <v>72</v>
      </c>
      <c r="B83" s="48">
        <f t="shared" si="11"/>
        <v>0</v>
      </c>
      <c r="C83" s="138">
        <f t="shared" si="12"/>
        <v>0</v>
      </c>
      <c r="D83" s="48">
        <f t="shared" si="13"/>
        <v>0</v>
      </c>
      <c r="E83" s="49">
        <f t="shared" si="14"/>
        <v>0</v>
      </c>
      <c r="F83" s="243">
        <f>SUM(D72:D83)</f>
        <v>0</v>
      </c>
      <c r="H83" s="38" t="s">
        <v>28</v>
      </c>
      <c r="I83" s="48">
        <f t="shared" si="15"/>
        <v>0</v>
      </c>
      <c r="J83" s="48">
        <f t="shared" si="16"/>
        <v>0</v>
      </c>
      <c r="K83" s="79">
        <f t="shared" si="17"/>
        <v>0</v>
      </c>
      <c r="N83" s="36" t="s">
        <v>28</v>
      </c>
      <c r="O83" s="48">
        <f t="shared" si="18"/>
        <v>0</v>
      </c>
      <c r="P83" s="48">
        <f t="shared" si="19"/>
        <v>0</v>
      </c>
      <c r="Q83" s="49">
        <f t="shared" si="20"/>
        <v>0</v>
      </c>
      <c r="R83" s="49">
        <f t="shared" si="21"/>
        <v>0</v>
      </c>
      <c r="S83" s="1100">
        <f>SUM(Q72:Q83)</f>
        <v>0</v>
      </c>
    </row>
    <row r="84" spans="1:19" ht="16.5" thickTop="1"/>
  </sheetData>
  <mergeCells count="10">
    <mergeCell ref="G12:G23"/>
    <mergeCell ref="M12:M23"/>
    <mergeCell ref="G24:G35"/>
    <mergeCell ref="M24:M35"/>
    <mergeCell ref="G60:G71"/>
    <mergeCell ref="M60:M71"/>
    <mergeCell ref="G36:G47"/>
    <mergeCell ref="M36:M47"/>
    <mergeCell ref="G48:G59"/>
    <mergeCell ref="M48:M59"/>
  </mergeCells>
  <phoneticPr fontId="9" type="noConversion"/>
  <dataValidations count="3">
    <dataValidation allowBlank="1" showInputMessage="1" showErrorMessage="1" error="Solo valores enteros comprendidos entre 1 y 5" sqref="I6"/>
    <dataValidation type="whole" allowBlank="1" showInputMessage="1" showErrorMessage="1" prompt="12 - Pago mensual_x000a_  6 - Pago bimestral_x000a_  4 - Pago trimestral_x000a_  3 - Pago cuatrimestral_x000a_  2 - Pago semestral_x000a_  1 - Pago anual" sqref="B8">
      <formula1>1</formula1>
      <formula2>12</formula2>
    </dataValidation>
    <dataValidation type="decimal" allowBlank="1" showErrorMessage="1" sqref="B9">
      <formula1>0</formula1>
      <formula2>12</formula2>
    </dataValidation>
  </dataValidations>
  <pageMargins left="0.75" right="0.75" top="1" bottom="1" header="0" footer="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U84"/>
  <sheetViews>
    <sheetView topLeftCell="G1" zoomScale="75" zoomScaleNormal="65" zoomScaleSheetLayoutView="50" workbookViewId="0">
      <selection activeCell="T8" sqref="T8"/>
    </sheetView>
  </sheetViews>
  <sheetFormatPr baseColWidth="10" defaultColWidth="11.1640625" defaultRowHeight="15.75"/>
  <cols>
    <col min="1" max="1" width="24" style="9" customWidth="1"/>
    <col min="2" max="3" width="18.33203125" style="9" customWidth="1"/>
    <col min="4" max="4" width="20.1640625" style="9" bestFit="1" customWidth="1"/>
    <col min="5" max="5" width="21.83203125" style="9" customWidth="1"/>
    <col min="6" max="6" width="7" style="9" customWidth="1"/>
    <col min="7" max="7" width="3.83203125" style="9" customWidth="1"/>
    <col min="8" max="8" width="26.1640625" style="9" customWidth="1"/>
    <col min="9" max="9" width="18" style="9" customWidth="1"/>
    <col min="10" max="10" width="18.33203125" style="9" customWidth="1"/>
    <col min="11" max="11" width="20.83203125" style="9" customWidth="1"/>
    <col min="12" max="12" width="7" style="9" customWidth="1"/>
    <col min="13" max="13" width="3.83203125" style="9" customWidth="1"/>
    <col min="14" max="14" width="19.33203125" style="9" customWidth="1"/>
    <col min="15" max="16" width="18.33203125" style="9" customWidth="1"/>
    <col min="17" max="17" width="20.83203125" style="9" customWidth="1"/>
    <col min="18" max="18" width="21" style="9" customWidth="1"/>
    <col min="19" max="19" width="15.6640625" style="9" customWidth="1"/>
    <col min="20" max="20" width="15.33203125" style="9" customWidth="1"/>
    <col min="21" max="16384" width="11.1640625" style="9"/>
  </cols>
  <sheetData>
    <row r="1" spans="1:21" ht="39.950000000000003" customHeight="1" thickBot="1">
      <c r="A1" s="8" t="s">
        <v>123</v>
      </c>
      <c r="D1" s="96"/>
      <c r="E1" s="96"/>
      <c r="F1" s="96"/>
    </row>
    <row r="2" spans="1:21" ht="39.950000000000003" customHeight="1" thickTop="1" thickBot="1">
      <c r="A2" s="39"/>
      <c r="N2" s="17" t="s">
        <v>68</v>
      </c>
      <c r="O2" s="31" t="s">
        <v>14</v>
      </c>
      <c r="P2" s="31" t="s">
        <v>66</v>
      </c>
      <c r="Q2" s="33" t="s">
        <v>67</v>
      </c>
      <c r="R2" s="32" t="s">
        <v>15</v>
      </c>
      <c r="S2" s="242" t="s">
        <v>419</v>
      </c>
      <c r="T2" s="242" t="s">
        <v>420</v>
      </c>
      <c r="U2"/>
    </row>
    <row r="3" spans="1:21" ht="20.100000000000001" customHeight="1" thickTop="1">
      <c r="A3" s="8" t="str">
        <f>"Cuadro de Amortización del Crédito - Año "&amp;'(0) 3b. Préstam Financ.'!K15</f>
        <v>Cuadro de Amortización del Crédito - Año 1º ejerc.0</v>
      </c>
      <c r="G3" s="39"/>
      <c r="N3" s="27">
        <f>Año_comienzo_Plan</f>
        <v>0</v>
      </c>
      <c r="O3" s="41">
        <f>SUM(O12:O23)</f>
        <v>0</v>
      </c>
      <c r="P3" s="41">
        <f>SUM(P12:P23)</f>
        <v>0</v>
      </c>
      <c r="Q3" s="41">
        <f>SUM(Q12:Q23)</f>
        <v>0</v>
      </c>
      <c r="R3" s="44">
        <f>IF($I$6=1,$B$5-Q3,0)</f>
        <v>0</v>
      </c>
      <c r="S3" s="1101">
        <f>IF($R$23=0,0,$R$23-$S$35)</f>
        <v>0</v>
      </c>
      <c r="T3" s="1101">
        <f>$S$35</f>
        <v>0</v>
      </c>
      <c r="U3" s="246">
        <f t="shared" ref="U3:U8" si="0">SUM(S3:T3)</f>
        <v>0</v>
      </c>
    </row>
    <row r="4" spans="1:21" ht="20.100000000000001" customHeight="1" thickBot="1">
      <c r="N4" s="28">
        <f>N3+1</f>
        <v>1</v>
      </c>
      <c r="O4" s="43">
        <f>SUM(O24:O35)</f>
        <v>0</v>
      </c>
      <c r="P4" s="43">
        <f>SUM(P24:P35)</f>
        <v>0</v>
      </c>
      <c r="Q4" s="43">
        <f>SUM(Q24:Q35)</f>
        <v>0</v>
      </c>
      <c r="R4" s="44">
        <f>IF($I$6=1,$B$5-(Q3+Q4),IF($I$6=2,$B$5-Q4,0))</f>
        <v>0</v>
      </c>
      <c r="S4" s="1101">
        <f>IF($R$35=0,0,$R$35-$S$47)</f>
        <v>0</v>
      </c>
      <c r="T4" s="1101">
        <f>$S$47</f>
        <v>0</v>
      </c>
      <c r="U4" s="246">
        <f t="shared" si="0"/>
        <v>0</v>
      </c>
    </row>
    <row r="5" spans="1:21" ht="20.100000000000001" customHeight="1" thickTop="1" thickBot="1">
      <c r="A5" s="10" t="s">
        <v>54</v>
      </c>
      <c r="B5" s="124">
        <f>'(0) 3b. Préstam Financ.'!K17</f>
        <v>0</v>
      </c>
      <c r="C5" s="96"/>
      <c r="N5" s="28">
        <f>N3+2</f>
        <v>2</v>
      </c>
      <c r="O5" s="43">
        <f>SUM(O36:O47)</f>
        <v>0</v>
      </c>
      <c r="P5" s="43">
        <f>SUM(P36:P47)</f>
        <v>0</v>
      </c>
      <c r="Q5" s="43">
        <f>SUM(Q36:Q47)</f>
        <v>0</v>
      </c>
      <c r="R5" s="44">
        <f>IF($I$6=1,$B$5-(Q3+Q4+Q5),IF($I$6=2,$B$5-(Q4+Q5),IF($I$6=3,$B$5-(Q5),0)))</f>
        <v>0</v>
      </c>
      <c r="S5" s="1101">
        <f>IF($R$47=0,0,$R$47-$S$59)</f>
        <v>0</v>
      </c>
      <c r="T5" s="1101">
        <f>$S$59</f>
        <v>0</v>
      </c>
      <c r="U5" s="246">
        <f t="shared" si="0"/>
        <v>0</v>
      </c>
    </row>
    <row r="6" spans="1:21" ht="20.100000000000001" customHeight="1" thickBot="1">
      <c r="A6" s="11" t="s">
        <v>9</v>
      </c>
      <c r="B6" s="125">
        <f>'(0) 3b. Préstam Financ.'!K18</f>
        <v>0.05</v>
      </c>
      <c r="C6" s="96"/>
      <c r="D6" s="106"/>
      <c r="E6" s="12" t="s">
        <v>70</v>
      </c>
      <c r="F6" s="13"/>
      <c r="G6" s="14"/>
      <c r="H6" s="14"/>
      <c r="I6" s="129" t="str">
        <f>IF('(0) 3b. Préstam Financ.'!K17&gt;0,1,"")</f>
        <v/>
      </c>
      <c r="J6" s="15" t="s">
        <v>75</v>
      </c>
      <c r="N6" s="28">
        <f>N3+3</f>
        <v>3</v>
      </c>
      <c r="O6" s="43">
        <f>SUM(O48:O59)</f>
        <v>0</v>
      </c>
      <c r="P6" s="43">
        <f>IF(SUM(P48:P59)&lt;&gt;0,SUM(P48:P59),0)</f>
        <v>0</v>
      </c>
      <c r="Q6" s="43">
        <f>SUM(Q48:Q59)</f>
        <v>0</v>
      </c>
      <c r="R6" s="44">
        <f>IF($I$6=1,$B$5-(Q3+Q4+Q5+Q6),IF($I$6=2,$B$5-(Q4+Q5+Q6),IF($I$6=3,$B$5-(Q5+Q6),IF($I$6=4,$B$5-Q6,0))))</f>
        <v>0</v>
      </c>
      <c r="S6" s="1101">
        <f>IF($R$59=0,0,$R$59-$S$71)</f>
        <v>0</v>
      </c>
      <c r="T6" s="1101">
        <f>$S$71</f>
        <v>0</v>
      </c>
      <c r="U6" s="246">
        <f t="shared" si="0"/>
        <v>0</v>
      </c>
    </row>
    <row r="7" spans="1:21" ht="20.100000000000001" customHeight="1" thickBot="1">
      <c r="A7" s="11" t="s">
        <v>10</v>
      </c>
      <c r="B7" s="126">
        <f>'(0) 3b. Préstam Financ.'!K19</f>
        <v>4</v>
      </c>
      <c r="C7" s="96"/>
      <c r="N7" s="29">
        <f>N3+4</f>
        <v>4</v>
      </c>
      <c r="O7" s="48">
        <f>SUM(O60:O71)</f>
        <v>0</v>
      </c>
      <c r="P7" s="48">
        <f>SUM(P60:P71)</f>
        <v>0</v>
      </c>
      <c r="Q7" s="48">
        <f>SUM(Q60:Q71)</f>
        <v>0</v>
      </c>
      <c r="R7" s="49">
        <f>IF($I$6=1,$B$5-(Q3+Q4+Q5+Q6+Q7),IF($I$6=2,$B$5-(Q4+Q5+Q6+Q7),IF($I$6=3,$B$5-(Q5+Q6+Q7),IF($I$6=4,$B$5-(Q6+Q7),IF($I$6=5,$B$5-Q7,0)))))</f>
        <v>0</v>
      </c>
      <c r="S7" s="1101">
        <f>IF($R$71=0,0,$R$71-$S$83)</f>
        <v>0</v>
      </c>
      <c r="T7" s="1101">
        <f>$S$83</f>
        <v>0</v>
      </c>
      <c r="U7" s="246">
        <f t="shared" si="0"/>
        <v>0</v>
      </c>
    </row>
    <row r="8" spans="1:21" ht="20.100000000000001" customHeight="1" thickTop="1" thickBot="1">
      <c r="A8" s="11" t="s">
        <v>12</v>
      </c>
      <c r="B8" s="126">
        <f>'(0) 3b. Préstam Financ.'!K20</f>
        <v>12</v>
      </c>
      <c r="C8" s="96"/>
      <c r="N8" s="29">
        <f>N4+4</f>
        <v>5</v>
      </c>
      <c r="O8" s="48">
        <f>SUM(O72:O83)</f>
        <v>0</v>
      </c>
      <c r="P8" s="48">
        <f>SUM(P72:P83)</f>
        <v>0</v>
      </c>
      <c r="Q8" s="48">
        <f>SUM(Q72:Q83)</f>
        <v>0</v>
      </c>
      <c r="R8" s="49">
        <f>IF($I$6=1,$B$5-(Q3+Q4+Q5+Q6+Q7+Q8),IF($I$6=2,$B$5-(Q4+Q5+Q6+Q7+Q8),IF($I$6=3,$B$5-(Q5+Q6+Q7+Q8),IF($I$6=4,$B$5-(Q6+Q7+Q8),IF($I$6=5,$B$5-(Q7+Q8),IF($I$6=6,$B$5-(Q8),0))))))</f>
        <v>0</v>
      </c>
      <c r="S8" s="244"/>
      <c r="T8" s="244"/>
      <c r="U8" s="246">
        <f t="shared" si="0"/>
        <v>0</v>
      </c>
    </row>
    <row r="9" spans="1:21" ht="20.100000000000001" customHeight="1" thickTop="1" thickBot="1">
      <c r="A9" s="16"/>
      <c r="B9" s="127"/>
      <c r="C9" s="96"/>
      <c r="D9" s="108" t="s">
        <v>82</v>
      </c>
      <c r="E9" s="231">
        <f>'(0) 3b. Préstam Financ.'!K22*0</f>
        <v>0</v>
      </c>
      <c r="H9" s="108" t="s">
        <v>97</v>
      </c>
      <c r="I9" s="128">
        <f>'(0) 3b. Préstam Financ.'!K21</f>
        <v>0</v>
      </c>
    </row>
    <row r="10" spans="1:21" ht="20.100000000000001" customHeight="1" thickTop="1" thickBot="1">
      <c r="R10" s="1098"/>
      <c r="S10" s="1098"/>
    </row>
    <row r="11" spans="1:21" ht="33" customHeight="1" thickTop="1" thickBot="1">
      <c r="A11" s="17" t="s">
        <v>13</v>
      </c>
      <c r="B11" s="31" t="s">
        <v>14</v>
      </c>
      <c r="C11" s="18" t="s">
        <v>11</v>
      </c>
      <c r="D11" s="18" t="s">
        <v>6</v>
      </c>
      <c r="E11" s="19" t="s">
        <v>15</v>
      </c>
      <c r="F11" s="64"/>
      <c r="H11" s="17" t="s">
        <v>42</v>
      </c>
      <c r="I11" s="31" t="s">
        <v>14</v>
      </c>
      <c r="J11" s="31" t="s">
        <v>66</v>
      </c>
      <c r="K11" s="32" t="s">
        <v>67</v>
      </c>
      <c r="L11" s="20"/>
      <c r="M11" s="30"/>
      <c r="N11" s="17" t="s">
        <v>42</v>
      </c>
      <c r="O11" s="31" t="s">
        <v>14</v>
      </c>
      <c r="P11" s="31" t="s">
        <v>66</v>
      </c>
      <c r="Q11" s="32" t="s">
        <v>67</v>
      </c>
      <c r="R11" s="1099" t="s">
        <v>15</v>
      </c>
    </row>
    <row r="12" spans="1:21" ht="15.75" customHeight="1" thickTop="1">
      <c r="A12" s="21">
        <v>1</v>
      </c>
      <c r="B12" s="43">
        <f t="shared" ref="B12:B23" si="1">IF(A12&gt;$I$9,IF(E11&gt;1,PMT($B$6/$B$8,$B$7*$B$8,-$B$5),0),0)</f>
        <v>0</v>
      </c>
      <c r="C12" s="122">
        <f>IF(B12&gt;0,B12-D12,E12*($B$6/$B$8))+E9</f>
        <v>0</v>
      </c>
      <c r="D12" s="41">
        <f>IF(A12&gt;$I$9,B12-($B$5*($B$6/$B$8)),0)</f>
        <v>0</v>
      </c>
      <c r="E12" s="67">
        <f>$B$5-D12</f>
        <v>0</v>
      </c>
      <c r="F12" s="51"/>
      <c r="G12" s="4194">
        <f>IF($B$5=0,$N$3,IF(O3&gt;0,N3,IF(O4&gt;0,N4,IF(O5&gt;0,N5,IF(O6&gt;0,N6,N7)))))</f>
        <v>0</v>
      </c>
      <c r="H12" s="34" t="s">
        <v>17</v>
      </c>
      <c r="I12" s="41">
        <f>$B$12</f>
        <v>0</v>
      </c>
      <c r="J12" s="41">
        <f>C12</f>
        <v>0</v>
      </c>
      <c r="K12" s="67">
        <f>D12</f>
        <v>0</v>
      </c>
      <c r="M12" s="4194">
        <f>'1.Datos Básicos. Product-Serv'!B7</f>
        <v>0</v>
      </c>
      <c r="N12" s="34" t="s">
        <v>17</v>
      </c>
      <c r="O12" s="41">
        <f>IF($I$6=1,I12,0)</f>
        <v>0</v>
      </c>
      <c r="P12" s="41">
        <f t="shared" ref="P12:Q23" si="2">IF($I$6=1,J12,0)</f>
        <v>0</v>
      </c>
      <c r="Q12" s="42">
        <f t="shared" si="2"/>
        <v>0</v>
      </c>
      <c r="R12" s="67">
        <f>$B$5-Q12</f>
        <v>0</v>
      </c>
      <c r="S12" s="51"/>
    </row>
    <row r="13" spans="1:21" ht="15.75" customHeight="1">
      <c r="A13" s="23">
        <v>2</v>
      </c>
      <c r="B13" s="43">
        <f t="shared" si="1"/>
        <v>0</v>
      </c>
      <c r="C13" s="123">
        <f t="shared" ref="C13:C71" si="3">IF(B13&gt;0,B13-D13,E13*($B$6/$B$8))</f>
        <v>0</v>
      </c>
      <c r="D13" s="43">
        <f t="shared" ref="D13:D23" si="4">IF(A13&gt;$I$9,B13-(E12*($B$6/$B$8)),0)</f>
        <v>0</v>
      </c>
      <c r="E13" s="68">
        <f>IF((E12-D13)&gt;0,E12-D13,0)</f>
        <v>0</v>
      </c>
      <c r="F13" s="51"/>
      <c r="G13" s="4195"/>
      <c r="H13" s="9" t="s">
        <v>18</v>
      </c>
      <c r="I13" s="43">
        <f>IF($B$8=12,B13,0)</f>
        <v>0</v>
      </c>
      <c r="J13" s="43">
        <f>IF($B$8=12,C13,0)</f>
        <v>0</v>
      </c>
      <c r="K13" s="68">
        <f>IF($B$8=12,D13,0)</f>
        <v>0</v>
      </c>
      <c r="M13" s="4195"/>
      <c r="N13" s="9" t="s">
        <v>18</v>
      </c>
      <c r="O13" s="43">
        <f t="shared" ref="O13:O23" si="5">IF($I$6=1,I13,0)</f>
        <v>0</v>
      </c>
      <c r="P13" s="43">
        <f t="shared" si="2"/>
        <v>0</v>
      </c>
      <c r="Q13" s="44">
        <f t="shared" si="2"/>
        <v>0</v>
      </c>
      <c r="R13" s="68">
        <f>IF((R12-Q13)&gt;0,R12-Q13,0)</f>
        <v>0</v>
      </c>
      <c r="S13" s="51"/>
    </row>
    <row r="14" spans="1:21" ht="15.75" customHeight="1">
      <c r="A14" s="23">
        <v>3</v>
      </c>
      <c r="B14" s="43">
        <f t="shared" si="1"/>
        <v>0</v>
      </c>
      <c r="C14" s="123">
        <f t="shared" si="3"/>
        <v>0</v>
      </c>
      <c r="D14" s="43">
        <f t="shared" si="4"/>
        <v>0</v>
      </c>
      <c r="E14" s="68">
        <f t="shared" ref="E14:E71" si="6">IF((E13-D14)&gt;0,E13-D14,0)</f>
        <v>0</v>
      </c>
      <c r="F14" s="51"/>
      <c r="G14" s="4195"/>
      <c r="H14" s="9" t="s">
        <v>19</v>
      </c>
      <c r="I14" s="43">
        <f>IF($B$8=12,B14,IF($B$8=6,B13,0))</f>
        <v>0</v>
      </c>
      <c r="J14" s="43">
        <f>IF($B$8=12,C14,IF($B$8=6,C13,0))</f>
        <v>0</v>
      </c>
      <c r="K14" s="68">
        <f>IF($B$8=12,D14,IF($B$8=6,D13,0))</f>
        <v>0</v>
      </c>
      <c r="M14" s="4195"/>
      <c r="N14" s="9" t="s">
        <v>19</v>
      </c>
      <c r="O14" s="43">
        <f t="shared" si="5"/>
        <v>0</v>
      </c>
      <c r="P14" s="43">
        <f t="shared" si="2"/>
        <v>0</v>
      </c>
      <c r="Q14" s="44">
        <f t="shared" si="2"/>
        <v>0</v>
      </c>
      <c r="R14" s="68">
        <f t="shared" ref="R14:R77" si="7">IF((R13-Q14)&gt;0,R13-Q14,0)</f>
        <v>0</v>
      </c>
      <c r="S14" s="51"/>
    </row>
    <row r="15" spans="1:21" ht="15.75" customHeight="1">
      <c r="A15" s="23">
        <v>4</v>
      </c>
      <c r="B15" s="43">
        <f t="shared" si="1"/>
        <v>0</v>
      </c>
      <c r="C15" s="123">
        <f t="shared" si="3"/>
        <v>0</v>
      </c>
      <c r="D15" s="43">
        <f t="shared" si="4"/>
        <v>0</v>
      </c>
      <c r="E15" s="68">
        <f t="shared" si="6"/>
        <v>0</v>
      </c>
      <c r="F15" s="51"/>
      <c r="G15" s="4195"/>
      <c r="H15" s="9" t="s">
        <v>20</v>
      </c>
      <c r="I15" s="43">
        <f>IF($B$8=12,B15,IF($B$8=4,B13,IF($B$8=6,0,IF($B$8=3,0,0))))</f>
        <v>0</v>
      </c>
      <c r="J15" s="43">
        <f>IF($B$8=12,C15,IF($B$8=4,C13,IF($B$8=6,0,IF($B$8=3,0,0))))</f>
        <v>0</v>
      </c>
      <c r="K15" s="68">
        <f>IF($B$8=12,D15,IF($B$8=4,D13,IF($B$8=6,0,IF($B$8=3,0,0))))</f>
        <v>0</v>
      </c>
      <c r="M15" s="4195"/>
      <c r="N15" s="9" t="s">
        <v>20</v>
      </c>
      <c r="O15" s="43">
        <f t="shared" si="5"/>
        <v>0</v>
      </c>
      <c r="P15" s="43">
        <f t="shared" si="2"/>
        <v>0</v>
      </c>
      <c r="Q15" s="44">
        <f t="shared" si="2"/>
        <v>0</v>
      </c>
      <c r="R15" s="68">
        <f t="shared" si="7"/>
        <v>0</v>
      </c>
      <c r="S15" s="51"/>
    </row>
    <row r="16" spans="1:21" ht="15.75" customHeight="1">
      <c r="A16" s="23">
        <v>5</v>
      </c>
      <c r="B16" s="43">
        <f t="shared" si="1"/>
        <v>0</v>
      </c>
      <c r="C16" s="123">
        <f t="shared" si="3"/>
        <v>0</v>
      </c>
      <c r="D16" s="43">
        <f t="shared" si="4"/>
        <v>0</v>
      </c>
      <c r="E16" s="68">
        <f t="shared" si="6"/>
        <v>0</v>
      </c>
      <c r="F16" s="51"/>
      <c r="G16" s="4195"/>
      <c r="H16" s="9" t="s">
        <v>21</v>
      </c>
      <c r="I16" s="43">
        <f>IF($B$8=12,B16,IF($B$8=4,0,IF($B$8=6,B14,IF($B$8=3,B13,0))))</f>
        <v>0</v>
      </c>
      <c r="J16" s="43">
        <f>IF($B$8=12,C16,IF($B$8=4,0,IF($B$8=6,C14,IF($B$8=3,C13,0))))</f>
        <v>0</v>
      </c>
      <c r="K16" s="68">
        <f>IF($B$8=12,D16,IF($B$8=4,0,IF($B$8=6,D14,IF($B$8=3,D13,0))))</f>
        <v>0</v>
      </c>
      <c r="M16" s="4195"/>
      <c r="N16" s="9" t="s">
        <v>21</v>
      </c>
      <c r="O16" s="43">
        <f t="shared" si="5"/>
        <v>0</v>
      </c>
      <c r="P16" s="43">
        <f t="shared" si="2"/>
        <v>0</v>
      </c>
      <c r="Q16" s="44">
        <f t="shared" si="2"/>
        <v>0</v>
      </c>
      <c r="R16" s="68">
        <f t="shared" si="7"/>
        <v>0</v>
      </c>
      <c r="S16" s="51"/>
    </row>
    <row r="17" spans="1:19" ht="15.75" customHeight="1">
      <c r="A17" s="23">
        <v>6</v>
      </c>
      <c r="B17" s="43">
        <f t="shared" si="1"/>
        <v>0</v>
      </c>
      <c r="C17" s="123">
        <f t="shared" si="3"/>
        <v>0</v>
      </c>
      <c r="D17" s="43">
        <f t="shared" si="4"/>
        <v>0</v>
      </c>
      <c r="E17" s="68">
        <f t="shared" si="6"/>
        <v>0</v>
      </c>
      <c r="F17" s="51"/>
      <c r="G17" s="4195"/>
      <c r="H17" s="9" t="s">
        <v>22</v>
      </c>
      <c r="I17" s="43">
        <f>IF($B$8=12,B17,IF($B$8=4,0,IF($B$8=6,0,IF($B$8=3,0,0))))</f>
        <v>0</v>
      </c>
      <c r="J17" s="43">
        <f>IF($B$8=12,C17,IF($B$8=4,0,IF($B$8=6,0,IF($B$8=3,0,0))))</f>
        <v>0</v>
      </c>
      <c r="K17" s="68">
        <f>IF($B$8=12,D17,IF($B$8=4,0,IF($B$8=6,0,IF($B$8=3,0,0))))</f>
        <v>0</v>
      </c>
      <c r="M17" s="4195"/>
      <c r="N17" s="9" t="s">
        <v>22</v>
      </c>
      <c r="O17" s="43">
        <f t="shared" si="5"/>
        <v>0</v>
      </c>
      <c r="P17" s="43">
        <f t="shared" si="2"/>
        <v>0</v>
      </c>
      <c r="Q17" s="44">
        <f t="shared" si="2"/>
        <v>0</v>
      </c>
      <c r="R17" s="68">
        <f t="shared" si="7"/>
        <v>0</v>
      </c>
      <c r="S17" s="51"/>
    </row>
    <row r="18" spans="1:19" ht="15.75" customHeight="1">
      <c r="A18" s="23">
        <v>7</v>
      </c>
      <c r="B18" s="43">
        <f t="shared" si="1"/>
        <v>0</v>
      </c>
      <c r="C18" s="123">
        <f t="shared" si="3"/>
        <v>0</v>
      </c>
      <c r="D18" s="43">
        <f t="shared" si="4"/>
        <v>0</v>
      </c>
      <c r="E18" s="68">
        <f t="shared" si="6"/>
        <v>0</v>
      </c>
      <c r="F18" s="51"/>
      <c r="G18" s="4195"/>
      <c r="H18" s="9" t="s">
        <v>23</v>
      </c>
      <c r="I18" s="43">
        <f>IF($B$8=12,B18,IF($B$8=4,B14,IF($B$8=6,B15,IF($B$8=3,0,IF($B$8=2,B13,0)))))</f>
        <v>0</v>
      </c>
      <c r="J18" s="43">
        <f>IF($B$8=12,C18,IF($B$8=4,C14,IF($B$8=6,C15,IF($B$8=3,0,IF($B$8=2,C13,0)))))</f>
        <v>0</v>
      </c>
      <c r="K18" s="68">
        <f>IF($B$8=12,D18,IF($B$8=4,D14,IF($B$8=6,D15,IF($B$8=3,0,IF($B$8=2,D13,0)))))</f>
        <v>0</v>
      </c>
      <c r="M18" s="4195"/>
      <c r="N18" s="9" t="s">
        <v>23</v>
      </c>
      <c r="O18" s="43">
        <f t="shared" si="5"/>
        <v>0</v>
      </c>
      <c r="P18" s="43">
        <f t="shared" si="2"/>
        <v>0</v>
      </c>
      <c r="Q18" s="44">
        <f t="shared" si="2"/>
        <v>0</v>
      </c>
      <c r="R18" s="68">
        <f t="shared" si="7"/>
        <v>0</v>
      </c>
      <c r="S18" s="51"/>
    </row>
    <row r="19" spans="1:19" ht="15.75" customHeight="1">
      <c r="A19" s="23">
        <v>8</v>
      </c>
      <c r="B19" s="43">
        <f t="shared" si="1"/>
        <v>0</v>
      </c>
      <c r="C19" s="123">
        <f t="shared" si="3"/>
        <v>0</v>
      </c>
      <c r="D19" s="43">
        <f t="shared" si="4"/>
        <v>0</v>
      </c>
      <c r="E19" s="68">
        <f t="shared" si="6"/>
        <v>0</v>
      </c>
      <c r="F19" s="51"/>
      <c r="G19" s="4195"/>
      <c r="H19" s="9" t="s">
        <v>24</v>
      </c>
      <c r="I19" s="43">
        <f>IF($B$8=12,B19,IF($B$8=4,0,IF($B$8=6,0,IF($B$8=3,0,0))))</f>
        <v>0</v>
      </c>
      <c r="J19" s="43">
        <f>IF($B$8=12,C19,IF($B$8=4,0,IF($B$8=6,0,IF($B$8=3,0,0))))</f>
        <v>0</v>
      </c>
      <c r="K19" s="68">
        <f>IF($B$8=12,D19,IF($B$8=4,0,IF($B$8=6,0,IF($B$8=3,0,0))))</f>
        <v>0</v>
      </c>
      <c r="M19" s="4195"/>
      <c r="N19" s="9" t="s">
        <v>24</v>
      </c>
      <c r="O19" s="43">
        <f t="shared" si="5"/>
        <v>0</v>
      </c>
      <c r="P19" s="43">
        <f t="shared" si="2"/>
        <v>0</v>
      </c>
      <c r="Q19" s="44">
        <f t="shared" si="2"/>
        <v>0</v>
      </c>
      <c r="R19" s="68">
        <f t="shared" si="7"/>
        <v>0</v>
      </c>
      <c r="S19" s="51"/>
    </row>
    <row r="20" spans="1:19" ht="15.75" customHeight="1">
      <c r="A20" s="23">
        <v>9</v>
      </c>
      <c r="B20" s="43">
        <f t="shared" si="1"/>
        <v>0</v>
      </c>
      <c r="C20" s="123">
        <f t="shared" si="3"/>
        <v>0</v>
      </c>
      <c r="D20" s="43">
        <f t="shared" si="4"/>
        <v>0</v>
      </c>
      <c r="E20" s="68">
        <f t="shared" si="6"/>
        <v>0</v>
      </c>
      <c r="F20" s="51"/>
      <c r="G20" s="4195"/>
      <c r="H20" s="9" t="s">
        <v>25</v>
      </c>
      <c r="I20" s="43">
        <f>IF($B$8=12,B20,IF($B$8=4,0,IF($B$8=6,B16,IF($B$8=3,B14,0))))</f>
        <v>0</v>
      </c>
      <c r="J20" s="43">
        <f>IF($B$8=12,C20,IF($B$8=4,0,IF($B$8=6,C16,IF($B$8=3,C14,0))))</f>
        <v>0</v>
      </c>
      <c r="K20" s="68">
        <f>IF($B$8=12,D20,IF($B$8=4,0,IF($B$8=6,D16,IF($B$8=3,D14,0))))</f>
        <v>0</v>
      </c>
      <c r="M20" s="4195"/>
      <c r="N20" s="9" t="s">
        <v>25</v>
      </c>
      <c r="O20" s="43">
        <f t="shared" si="5"/>
        <v>0</v>
      </c>
      <c r="P20" s="43">
        <f t="shared" si="2"/>
        <v>0</v>
      </c>
      <c r="Q20" s="44">
        <f t="shared" si="2"/>
        <v>0</v>
      </c>
      <c r="R20" s="68">
        <f t="shared" si="7"/>
        <v>0</v>
      </c>
      <c r="S20" s="51"/>
    </row>
    <row r="21" spans="1:19" ht="15.75" customHeight="1">
      <c r="A21" s="23">
        <v>10</v>
      </c>
      <c r="B21" s="43">
        <f t="shared" si="1"/>
        <v>0</v>
      </c>
      <c r="C21" s="123">
        <f t="shared" si="3"/>
        <v>0</v>
      </c>
      <c r="D21" s="43">
        <f t="shared" si="4"/>
        <v>0</v>
      </c>
      <c r="E21" s="68">
        <f t="shared" si="6"/>
        <v>0</v>
      </c>
      <c r="F21" s="51"/>
      <c r="G21" s="4195"/>
      <c r="H21" s="9" t="s">
        <v>26</v>
      </c>
      <c r="I21" s="43">
        <f>IF($B$8=12,B21,IF($B$8=4,B15,IF($B$8=6,0,IF($B$8=3,0,0))))</f>
        <v>0</v>
      </c>
      <c r="J21" s="43">
        <f>IF($B$8=12,C21,IF($B$8=4,C15,IF($B$8=6,0,IF($B$8=3,0,0))))</f>
        <v>0</v>
      </c>
      <c r="K21" s="68">
        <f>IF($B$8=12,D21,IF($B$8=4,D15,IF($B$8=6,0,IF($B$8=3,0,0))))</f>
        <v>0</v>
      </c>
      <c r="M21" s="4195"/>
      <c r="N21" s="9" t="s">
        <v>26</v>
      </c>
      <c r="O21" s="43">
        <f t="shared" si="5"/>
        <v>0</v>
      </c>
      <c r="P21" s="43">
        <f t="shared" si="2"/>
        <v>0</v>
      </c>
      <c r="Q21" s="44">
        <f t="shared" si="2"/>
        <v>0</v>
      </c>
      <c r="R21" s="68">
        <f t="shared" si="7"/>
        <v>0</v>
      </c>
      <c r="S21" s="51"/>
    </row>
    <row r="22" spans="1:19" ht="15.75" customHeight="1">
      <c r="A22" s="23">
        <v>11</v>
      </c>
      <c r="B22" s="43">
        <f t="shared" si="1"/>
        <v>0</v>
      </c>
      <c r="C22" s="123">
        <f t="shared" si="3"/>
        <v>0</v>
      </c>
      <c r="D22" s="43">
        <f t="shared" si="4"/>
        <v>0</v>
      </c>
      <c r="E22" s="68">
        <f t="shared" si="6"/>
        <v>0</v>
      </c>
      <c r="F22" s="51"/>
      <c r="G22" s="4195"/>
      <c r="H22" s="9" t="s">
        <v>27</v>
      </c>
      <c r="I22" s="43">
        <f>IF($B$8=12,B22,IF($B$8=4,0,IF($B$8=6,B17,IF($B$8=3,0,0))))</f>
        <v>0</v>
      </c>
      <c r="J22" s="43">
        <f>IF($B$8=12,C22,IF($B$8=4,0,IF($B$8=6,C17,IF($B$8=3,0,0))))</f>
        <v>0</v>
      </c>
      <c r="K22" s="68">
        <f>IF($B$8=12,D22,IF($B$8=4,0,IF($B$8=6,D17,IF($B$8=3,0,0))))</f>
        <v>0</v>
      </c>
      <c r="M22" s="4195"/>
      <c r="N22" s="9" t="s">
        <v>27</v>
      </c>
      <c r="O22" s="43">
        <f t="shared" si="5"/>
        <v>0</v>
      </c>
      <c r="P22" s="43">
        <f t="shared" si="2"/>
        <v>0</v>
      </c>
      <c r="Q22" s="44">
        <f t="shared" si="2"/>
        <v>0</v>
      </c>
      <c r="R22" s="68">
        <f t="shared" si="7"/>
        <v>0</v>
      </c>
      <c r="S22" s="51"/>
    </row>
    <row r="23" spans="1:19" ht="15.75" customHeight="1" thickBot="1">
      <c r="A23" s="24">
        <v>12</v>
      </c>
      <c r="B23" s="70">
        <f t="shared" si="1"/>
        <v>0</v>
      </c>
      <c r="C23" s="139">
        <f t="shared" si="3"/>
        <v>0</v>
      </c>
      <c r="D23" s="70">
        <f t="shared" si="4"/>
        <v>0</v>
      </c>
      <c r="E23" s="75">
        <f t="shared" si="6"/>
        <v>0</v>
      </c>
      <c r="F23" s="243">
        <f>SUM(D12:D23)</f>
        <v>0</v>
      </c>
      <c r="G23" s="4196"/>
      <c r="H23" s="37" t="s">
        <v>28</v>
      </c>
      <c r="I23" s="70">
        <f>IF($B$8=12,B23,IF($B$8=4,0,IF($B$8=6,0,IF($B$8=3,0,0))))</f>
        <v>0</v>
      </c>
      <c r="J23" s="70">
        <f>IF($B$8=12,C23,IF($B$8=4,0,IF($B$8=6,0,IF($B$8=3,0,0))))</f>
        <v>0</v>
      </c>
      <c r="K23" s="72">
        <f>IF($B$8=12,D23,IF($B$8=4,0,IF($B$8=6,0,IF($B$8=3,0,0))))</f>
        <v>0</v>
      </c>
      <c r="M23" s="4196"/>
      <c r="N23" s="35" t="s">
        <v>28</v>
      </c>
      <c r="O23" s="45">
        <f t="shared" si="5"/>
        <v>0</v>
      </c>
      <c r="P23" s="45">
        <f t="shared" si="2"/>
        <v>0</v>
      </c>
      <c r="Q23" s="46">
        <f t="shared" si="2"/>
        <v>0</v>
      </c>
      <c r="R23" s="75">
        <f t="shared" si="7"/>
        <v>0</v>
      </c>
      <c r="S23" s="1100">
        <f>SUM(Q12:Q23)</f>
        <v>0</v>
      </c>
    </row>
    <row r="24" spans="1:19" ht="15.75" customHeight="1">
      <c r="A24" s="23">
        <v>13</v>
      </c>
      <c r="B24" s="43">
        <f t="shared" ref="B24:B71" si="8">IF(A24&gt;$I$9,IF(E23&gt;1,PMT($B$6/$B$8,$B$7*$B$8,-$B$5),0),0)</f>
        <v>0</v>
      </c>
      <c r="C24" s="123">
        <f t="shared" si="3"/>
        <v>0</v>
      </c>
      <c r="D24" s="43">
        <f t="shared" ref="D24:D71" si="9">IF(A24&gt;$I$9,B24-(E23*($B$6/$B$8)),0)</f>
        <v>0</v>
      </c>
      <c r="E24" s="68">
        <f t="shared" si="6"/>
        <v>0</v>
      </c>
      <c r="F24" s="51"/>
      <c r="G24" s="4197">
        <f>G12+1</f>
        <v>1</v>
      </c>
      <c r="H24" s="22" t="s">
        <v>17</v>
      </c>
      <c r="I24" s="43">
        <f>IF($B$8=12,B24,IF($B$8=4,B16,IF($B$8=6,B18,IF($B$8=3,B15,IF($B$8=2,B14,IF($B$8,B13,0))))))</f>
        <v>0</v>
      </c>
      <c r="J24" s="43">
        <f>IF($B$8=12,C24,IF($B$8=4,C16,IF($B$8=6,C18,IF($B$8=3,C15,IF($B$8=2,C14,IF($B$8,C13,0))))))</f>
        <v>0</v>
      </c>
      <c r="K24" s="68">
        <f>IF($B$8=12,D24,IF($B$8=4,D16,IF($B$8=6,D18,IF($B$8=3,D15,IF($B$8=2,D14,IF($B$8,D13,0))))))</f>
        <v>0</v>
      </c>
      <c r="M24" s="4194">
        <f>M12+1</f>
        <v>1</v>
      </c>
      <c r="N24" s="9" t="s">
        <v>17</v>
      </c>
      <c r="O24" s="43">
        <f>IF($I$6=2,I12,IF($I$6=1,I24,0))</f>
        <v>0</v>
      </c>
      <c r="P24" s="43">
        <f t="shared" ref="P24:Q35" si="10">IF($I$6=2,J12,IF($I$6=1,J24,0))</f>
        <v>0</v>
      </c>
      <c r="Q24" s="44">
        <f t="shared" si="10"/>
        <v>0</v>
      </c>
      <c r="R24" s="68">
        <f t="shared" si="7"/>
        <v>0</v>
      </c>
      <c r="S24" s="51"/>
    </row>
    <row r="25" spans="1:19" ht="15.75" customHeight="1">
      <c r="A25" s="23">
        <v>14</v>
      </c>
      <c r="B25" s="43">
        <f t="shared" si="8"/>
        <v>0</v>
      </c>
      <c r="C25" s="123">
        <f t="shared" si="3"/>
        <v>0</v>
      </c>
      <c r="D25" s="43">
        <f t="shared" si="9"/>
        <v>0</v>
      </c>
      <c r="E25" s="68">
        <f t="shared" si="6"/>
        <v>0</v>
      </c>
      <c r="F25" s="51"/>
      <c r="G25" s="4198"/>
      <c r="H25" s="22" t="s">
        <v>18</v>
      </c>
      <c r="I25" s="43">
        <f>IF($B$8=12,B25,0)</f>
        <v>0</v>
      </c>
      <c r="J25" s="43">
        <f>IF($B$8=12,C25,0)</f>
        <v>0</v>
      </c>
      <c r="K25" s="68">
        <f>IF($B$8=12,D25,0)</f>
        <v>0</v>
      </c>
      <c r="M25" s="4195"/>
      <c r="N25" s="9" t="s">
        <v>18</v>
      </c>
      <c r="O25" s="43">
        <f t="shared" ref="O25:O35" si="11">IF($I$6=2,I13,IF($I$6=1,I25,0))</f>
        <v>0</v>
      </c>
      <c r="P25" s="43">
        <f t="shared" si="10"/>
        <v>0</v>
      </c>
      <c r="Q25" s="44">
        <f t="shared" si="10"/>
        <v>0</v>
      </c>
      <c r="R25" s="68">
        <f t="shared" si="7"/>
        <v>0</v>
      </c>
      <c r="S25" s="51"/>
    </row>
    <row r="26" spans="1:19" ht="15.75" customHeight="1">
      <c r="A26" s="23">
        <v>15</v>
      </c>
      <c r="B26" s="43">
        <f t="shared" si="8"/>
        <v>0</v>
      </c>
      <c r="C26" s="123">
        <f t="shared" si="3"/>
        <v>0</v>
      </c>
      <c r="D26" s="43">
        <f t="shared" si="9"/>
        <v>0</v>
      </c>
      <c r="E26" s="68">
        <f t="shared" si="6"/>
        <v>0</v>
      </c>
      <c r="F26" s="51"/>
      <c r="G26" s="4198"/>
      <c r="H26" s="22" t="s">
        <v>19</v>
      </c>
      <c r="I26" s="43">
        <f>IF($B$8=12,B26,IF($B$8=6,B19,0))</f>
        <v>0</v>
      </c>
      <c r="J26" s="43">
        <f>IF($B$8=12,C26,IF($B$8=6,C19,0))</f>
        <v>0</v>
      </c>
      <c r="K26" s="68">
        <f>IF($B$8=12,D26,IF($B$8=6,D19,0))</f>
        <v>0</v>
      </c>
      <c r="M26" s="4195"/>
      <c r="N26" s="9" t="s">
        <v>19</v>
      </c>
      <c r="O26" s="43">
        <f t="shared" si="11"/>
        <v>0</v>
      </c>
      <c r="P26" s="43">
        <f t="shared" si="10"/>
        <v>0</v>
      </c>
      <c r="Q26" s="44">
        <f t="shared" si="10"/>
        <v>0</v>
      </c>
      <c r="R26" s="68">
        <f t="shared" si="7"/>
        <v>0</v>
      </c>
      <c r="S26" s="51"/>
    </row>
    <row r="27" spans="1:19" ht="15.75" customHeight="1">
      <c r="A27" s="23">
        <v>16</v>
      </c>
      <c r="B27" s="43">
        <f t="shared" si="8"/>
        <v>0</v>
      </c>
      <c r="C27" s="123">
        <f t="shared" si="3"/>
        <v>0</v>
      </c>
      <c r="D27" s="43">
        <f t="shared" si="9"/>
        <v>0</v>
      </c>
      <c r="E27" s="68">
        <f t="shared" si="6"/>
        <v>0</v>
      </c>
      <c r="F27" s="51"/>
      <c r="G27" s="4198"/>
      <c r="H27" s="22" t="s">
        <v>20</v>
      </c>
      <c r="I27" s="43">
        <f>IF($B$8=12,B27,IF($B$8=4,B17,IF($B$8=6,0,IF($B$8=3,0,0))))</f>
        <v>0</v>
      </c>
      <c r="J27" s="43">
        <f>IF($B$8=12,C27,IF($B$8=4,C17,IF($B$8=6,0,IF($B$8=3,0,0))))</f>
        <v>0</v>
      </c>
      <c r="K27" s="68">
        <f>IF($B$8=12,D27,IF($B$8=4,D17,IF($B$8=6,0,IF($B$8=3,0,0))))</f>
        <v>0</v>
      </c>
      <c r="M27" s="4195"/>
      <c r="N27" s="9" t="s">
        <v>20</v>
      </c>
      <c r="O27" s="43">
        <f t="shared" si="11"/>
        <v>0</v>
      </c>
      <c r="P27" s="43">
        <f t="shared" si="10"/>
        <v>0</v>
      </c>
      <c r="Q27" s="44">
        <f t="shared" si="10"/>
        <v>0</v>
      </c>
      <c r="R27" s="68">
        <f t="shared" si="7"/>
        <v>0</v>
      </c>
      <c r="S27" s="51"/>
    </row>
    <row r="28" spans="1:19" ht="15.75" customHeight="1">
      <c r="A28" s="23">
        <v>17</v>
      </c>
      <c r="B28" s="43">
        <f t="shared" si="8"/>
        <v>0</v>
      </c>
      <c r="C28" s="123">
        <f t="shared" si="3"/>
        <v>0</v>
      </c>
      <c r="D28" s="43">
        <f t="shared" si="9"/>
        <v>0</v>
      </c>
      <c r="E28" s="68">
        <f t="shared" si="6"/>
        <v>0</v>
      </c>
      <c r="F28" s="51"/>
      <c r="G28" s="4198"/>
      <c r="H28" s="22" t="s">
        <v>21</v>
      </c>
      <c r="I28" s="43">
        <f>IF($B$8=12,B28,IF($B$8=4,0,IF($B$8=6,B20,IF($B$8=3,B16,0))))</f>
        <v>0</v>
      </c>
      <c r="J28" s="43">
        <f>IF($B$8=12,C28,IF($B$8=4,0,IF($B$8=6,C20,IF($B$8=3,C16,0))))</f>
        <v>0</v>
      </c>
      <c r="K28" s="68">
        <f>IF($B$8=12,D28,IF($B$8=4,0,IF($B$8=6,D20,IF($B$8=3,D16,0))))</f>
        <v>0</v>
      </c>
      <c r="M28" s="4195"/>
      <c r="N28" s="9" t="s">
        <v>21</v>
      </c>
      <c r="O28" s="43">
        <f t="shared" si="11"/>
        <v>0</v>
      </c>
      <c r="P28" s="43">
        <f t="shared" si="10"/>
        <v>0</v>
      </c>
      <c r="Q28" s="44">
        <f t="shared" si="10"/>
        <v>0</v>
      </c>
      <c r="R28" s="68">
        <f t="shared" si="7"/>
        <v>0</v>
      </c>
      <c r="S28" s="51"/>
    </row>
    <row r="29" spans="1:19" ht="15.75" customHeight="1">
      <c r="A29" s="23">
        <v>18</v>
      </c>
      <c r="B29" s="43">
        <f t="shared" si="8"/>
        <v>0</v>
      </c>
      <c r="C29" s="123">
        <f t="shared" si="3"/>
        <v>0</v>
      </c>
      <c r="D29" s="43">
        <f t="shared" si="9"/>
        <v>0</v>
      </c>
      <c r="E29" s="68">
        <f t="shared" si="6"/>
        <v>0</v>
      </c>
      <c r="F29" s="51"/>
      <c r="G29" s="4198"/>
      <c r="H29" s="22" t="s">
        <v>22</v>
      </c>
      <c r="I29" s="43">
        <f>IF($B$8=12,B29,IF($B$8=4,0,IF($B$8=6,0,IF($B$8=3,0,0))))</f>
        <v>0</v>
      </c>
      <c r="J29" s="43">
        <f>IF($B$8=12,C29,IF($B$8=4,0,IF($B$8=6,0,IF($B$8=3,0,0))))</f>
        <v>0</v>
      </c>
      <c r="K29" s="68">
        <f>IF($B$8=12,D29,IF($B$8=4,0,IF($B$8=6,0,IF($B$8=3,0,0))))</f>
        <v>0</v>
      </c>
      <c r="M29" s="4195"/>
      <c r="N29" s="9" t="s">
        <v>22</v>
      </c>
      <c r="O29" s="43">
        <f t="shared" si="11"/>
        <v>0</v>
      </c>
      <c r="P29" s="43">
        <f t="shared" si="10"/>
        <v>0</v>
      </c>
      <c r="Q29" s="44">
        <f t="shared" si="10"/>
        <v>0</v>
      </c>
      <c r="R29" s="68">
        <f t="shared" si="7"/>
        <v>0</v>
      </c>
      <c r="S29" s="51"/>
    </row>
    <row r="30" spans="1:19" ht="15.75" customHeight="1">
      <c r="A30" s="23">
        <v>19</v>
      </c>
      <c r="B30" s="43">
        <f t="shared" si="8"/>
        <v>0</v>
      </c>
      <c r="C30" s="123">
        <f t="shared" si="3"/>
        <v>0</v>
      </c>
      <c r="D30" s="43">
        <f t="shared" si="9"/>
        <v>0</v>
      </c>
      <c r="E30" s="68">
        <f t="shared" si="6"/>
        <v>0</v>
      </c>
      <c r="F30" s="51"/>
      <c r="G30" s="4198"/>
      <c r="H30" s="22" t="s">
        <v>23</v>
      </c>
      <c r="I30" s="43">
        <f>IF($B$8=12,B30,IF($B$8=4,B18,IF($B$8=6,B21,IF($B$8=3,0,IF($B$8=2,B15,0)))))</f>
        <v>0</v>
      </c>
      <c r="J30" s="43">
        <f>IF($B$8=12,C30,IF($B$8=4,C18,IF($B$8=6,C21,IF($B$8=3,0,IF($B$8=2,C15,0)))))</f>
        <v>0</v>
      </c>
      <c r="K30" s="68">
        <f>IF($B$8=12,D30,IF($B$8=4,D18,IF($B$8=6,D21,IF($B$8=3,0,IF($B$8=2,D15,0)))))</f>
        <v>0</v>
      </c>
      <c r="M30" s="4195"/>
      <c r="N30" s="9" t="s">
        <v>23</v>
      </c>
      <c r="O30" s="43">
        <f t="shared" si="11"/>
        <v>0</v>
      </c>
      <c r="P30" s="43">
        <f t="shared" si="10"/>
        <v>0</v>
      </c>
      <c r="Q30" s="44">
        <f t="shared" si="10"/>
        <v>0</v>
      </c>
      <c r="R30" s="68">
        <f t="shared" si="7"/>
        <v>0</v>
      </c>
      <c r="S30" s="51"/>
    </row>
    <row r="31" spans="1:19" ht="15.75" customHeight="1">
      <c r="A31" s="23">
        <v>20</v>
      </c>
      <c r="B31" s="43">
        <f t="shared" si="8"/>
        <v>0</v>
      </c>
      <c r="C31" s="123">
        <f t="shared" si="3"/>
        <v>0</v>
      </c>
      <c r="D31" s="43">
        <f t="shared" si="9"/>
        <v>0</v>
      </c>
      <c r="E31" s="68">
        <f t="shared" si="6"/>
        <v>0</v>
      </c>
      <c r="F31" s="51"/>
      <c r="G31" s="4198"/>
      <c r="H31" s="22" t="s">
        <v>24</v>
      </c>
      <c r="I31" s="43">
        <f>IF($B$8=12,B31,IF($B$8=4,0,IF($B$8=6,0,IF($B$8=3,0,0))))</f>
        <v>0</v>
      </c>
      <c r="J31" s="43">
        <f>IF($B$8=12,C31,IF($B$8=4,0,IF($B$8=6,0,IF($B$8=3,0,0))))</f>
        <v>0</v>
      </c>
      <c r="K31" s="68">
        <f>IF($B$8=12,D31,IF($B$8=4,0,IF($B$8=6,0,IF($B$8=3,0,0))))</f>
        <v>0</v>
      </c>
      <c r="M31" s="4195"/>
      <c r="N31" s="9" t="s">
        <v>24</v>
      </c>
      <c r="O31" s="43">
        <f t="shared" si="11"/>
        <v>0</v>
      </c>
      <c r="P31" s="43">
        <f t="shared" si="10"/>
        <v>0</v>
      </c>
      <c r="Q31" s="44">
        <f t="shared" si="10"/>
        <v>0</v>
      </c>
      <c r="R31" s="68">
        <f t="shared" si="7"/>
        <v>0</v>
      </c>
      <c r="S31" s="51"/>
    </row>
    <row r="32" spans="1:19" ht="15.75" customHeight="1">
      <c r="A32" s="23">
        <v>21</v>
      </c>
      <c r="B32" s="43">
        <f t="shared" si="8"/>
        <v>0</v>
      </c>
      <c r="C32" s="123">
        <f t="shared" si="3"/>
        <v>0</v>
      </c>
      <c r="D32" s="43">
        <f t="shared" si="9"/>
        <v>0</v>
      </c>
      <c r="E32" s="68">
        <f t="shared" si="6"/>
        <v>0</v>
      </c>
      <c r="F32" s="51"/>
      <c r="G32" s="4198"/>
      <c r="H32" s="22" t="s">
        <v>25</v>
      </c>
      <c r="I32" s="43">
        <f>IF($B$8=12,B32,IF($B$8=4,0,IF($B$8=6,B22,IF($B$8=3,B17,0))))</f>
        <v>0</v>
      </c>
      <c r="J32" s="43">
        <f>IF($B$8=12,C32,IF($B$8=4,0,IF($B$8=6,C22,IF($B$8=3,C17,0))))</f>
        <v>0</v>
      </c>
      <c r="K32" s="68">
        <f>IF($B$8=12,D32,IF($B$8=4,0,IF($B$8=6,D22,IF($B$8=3,D17,0))))</f>
        <v>0</v>
      </c>
      <c r="M32" s="4195"/>
      <c r="N32" s="9" t="s">
        <v>25</v>
      </c>
      <c r="O32" s="43">
        <f t="shared" si="11"/>
        <v>0</v>
      </c>
      <c r="P32" s="43">
        <f t="shared" si="10"/>
        <v>0</v>
      </c>
      <c r="Q32" s="44">
        <f t="shared" si="10"/>
        <v>0</v>
      </c>
      <c r="R32" s="68">
        <f t="shared" si="7"/>
        <v>0</v>
      </c>
      <c r="S32" s="51"/>
    </row>
    <row r="33" spans="1:19" ht="15.75" customHeight="1">
      <c r="A33" s="23">
        <v>22</v>
      </c>
      <c r="B33" s="43">
        <f t="shared" si="8"/>
        <v>0</v>
      </c>
      <c r="C33" s="123">
        <f t="shared" si="3"/>
        <v>0</v>
      </c>
      <c r="D33" s="43">
        <f t="shared" si="9"/>
        <v>0</v>
      </c>
      <c r="E33" s="68">
        <f t="shared" si="6"/>
        <v>0</v>
      </c>
      <c r="F33" s="51"/>
      <c r="G33" s="4198"/>
      <c r="H33" s="22" t="s">
        <v>26</v>
      </c>
      <c r="I33" s="43">
        <f>IF($B$8=12,B33,IF($B$8=4,B19,IF($B$8=6,0,IF($B$8=3,0,0))))</f>
        <v>0</v>
      </c>
      <c r="J33" s="43">
        <f>IF($B$8=12,C33,IF($B$8=4,C19,IF($B$8=6,0,IF($B$8=3,0,0))))</f>
        <v>0</v>
      </c>
      <c r="K33" s="68">
        <f>IF($B$8=12,D33,IF($B$8=4,D19,IF($B$8=6,0,IF($B$8=3,0,0))))</f>
        <v>0</v>
      </c>
      <c r="M33" s="4195"/>
      <c r="N33" s="9" t="s">
        <v>26</v>
      </c>
      <c r="O33" s="43">
        <f t="shared" si="11"/>
        <v>0</v>
      </c>
      <c r="P33" s="43">
        <f t="shared" si="10"/>
        <v>0</v>
      </c>
      <c r="Q33" s="44">
        <f t="shared" si="10"/>
        <v>0</v>
      </c>
      <c r="R33" s="68">
        <f t="shared" si="7"/>
        <v>0</v>
      </c>
      <c r="S33" s="51"/>
    </row>
    <row r="34" spans="1:19" ht="15.75" customHeight="1">
      <c r="A34" s="23">
        <v>23</v>
      </c>
      <c r="B34" s="43">
        <f t="shared" si="8"/>
        <v>0</v>
      </c>
      <c r="C34" s="123">
        <f t="shared" si="3"/>
        <v>0</v>
      </c>
      <c r="D34" s="43">
        <f t="shared" si="9"/>
        <v>0</v>
      </c>
      <c r="E34" s="68">
        <f t="shared" si="6"/>
        <v>0</v>
      </c>
      <c r="F34" s="51"/>
      <c r="G34" s="4198"/>
      <c r="H34" s="22" t="s">
        <v>27</v>
      </c>
      <c r="I34" s="43">
        <f>IF($B$8=12,B34,IF($B$8=4,0,IF($B$8=6,B23,IF($B$8=3,0,0))))</f>
        <v>0</v>
      </c>
      <c r="J34" s="43">
        <f>IF($B$8=12,C34,IF($B$8=4,0,IF($B$8=6,C23,IF($B$8=3,0,0))))</f>
        <v>0</v>
      </c>
      <c r="K34" s="68">
        <f>IF($B$8=12,D34,IF($B$8=4,0,IF($B$8=6,D23,IF($B$8=3,0,0))))</f>
        <v>0</v>
      </c>
      <c r="M34" s="4195"/>
      <c r="N34" s="9" t="s">
        <v>27</v>
      </c>
      <c r="O34" s="43">
        <f t="shared" si="11"/>
        <v>0</v>
      </c>
      <c r="P34" s="43">
        <f t="shared" si="10"/>
        <v>0</v>
      </c>
      <c r="Q34" s="44">
        <f t="shared" si="10"/>
        <v>0</v>
      </c>
      <c r="R34" s="68">
        <f t="shared" si="7"/>
        <v>0</v>
      </c>
      <c r="S34" s="51"/>
    </row>
    <row r="35" spans="1:19" ht="15.75" customHeight="1" thickBot="1">
      <c r="A35" s="24">
        <v>24</v>
      </c>
      <c r="B35" s="70">
        <f t="shared" si="8"/>
        <v>0</v>
      </c>
      <c r="C35" s="139">
        <f t="shared" si="3"/>
        <v>0</v>
      </c>
      <c r="D35" s="70">
        <f t="shared" si="9"/>
        <v>0</v>
      </c>
      <c r="E35" s="75">
        <f t="shared" si="6"/>
        <v>0</v>
      </c>
      <c r="F35" s="243">
        <f>SUM(D24:D35)</f>
        <v>0</v>
      </c>
      <c r="G35" s="4199"/>
      <c r="H35" s="25" t="s">
        <v>28</v>
      </c>
      <c r="I35" s="70">
        <f>IF($B$8=12,B35,IF($B$8=4,0,IF($B$8=6,0,IF($B$8=3,0,0))))</f>
        <v>0</v>
      </c>
      <c r="J35" s="70">
        <f>IF($B$8=12,C35,IF($B$8=4,0,IF($B$8=6,0,IF($B$8=3,0,0))))</f>
        <v>0</v>
      </c>
      <c r="K35" s="72">
        <f>IF($B$8=12,D35,IF($B$8=4,0,IF($B$8=6,0,IF($B$8=3,0,0))))</f>
        <v>0</v>
      </c>
      <c r="M35" s="4196"/>
      <c r="N35" s="35" t="s">
        <v>28</v>
      </c>
      <c r="O35" s="43">
        <f t="shared" si="11"/>
        <v>0</v>
      </c>
      <c r="P35" s="43">
        <f t="shared" si="10"/>
        <v>0</v>
      </c>
      <c r="Q35" s="46">
        <f t="shared" si="10"/>
        <v>0</v>
      </c>
      <c r="R35" s="75">
        <f t="shared" si="7"/>
        <v>0</v>
      </c>
      <c r="S35" s="1100">
        <f>SUM(Q24:Q35)</f>
        <v>0</v>
      </c>
    </row>
    <row r="36" spans="1:19" ht="15.75" customHeight="1">
      <c r="A36" s="23">
        <v>25</v>
      </c>
      <c r="B36" s="43">
        <f t="shared" si="8"/>
        <v>0</v>
      </c>
      <c r="C36" s="123">
        <f t="shared" si="3"/>
        <v>0</v>
      </c>
      <c r="D36" s="43">
        <f t="shared" si="9"/>
        <v>0</v>
      </c>
      <c r="E36" s="68">
        <f t="shared" si="6"/>
        <v>0</v>
      </c>
      <c r="F36" s="51"/>
      <c r="G36" s="4197">
        <f>G24+1</f>
        <v>2</v>
      </c>
      <c r="H36" s="22" t="s">
        <v>17</v>
      </c>
      <c r="I36" s="43">
        <f>IF($B$8=12,B36,IF($B$8=4,B20,IF($B$8=6,B24,IF($B$8=3,B18,IF($B$8=2,B16,IF($B$8=1,B14,0))))))</f>
        <v>0</v>
      </c>
      <c r="J36" s="43">
        <f>IF($B$8=12,C36,IF($B$8=4,C20,IF($B$8=6,C24,IF($B$8=3,C18,IF($B$8=2,C16,IF($B$8=1,C14,0))))))</f>
        <v>0</v>
      </c>
      <c r="K36" s="68">
        <f>IF($B$8=12,D36,IF($B$8=4,D20,IF($B$8=6,D24,IF($B$8=3,D18,IF($B$8=2,D16,IF($B$8=1,D14,0))))))</f>
        <v>0</v>
      </c>
      <c r="M36" s="4194">
        <f>M12+2</f>
        <v>2</v>
      </c>
      <c r="N36" s="9" t="s">
        <v>17</v>
      </c>
      <c r="O36" s="76">
        <f>IF($I$6=3,I12,IF($I$6=2,I24,IF($I$6=1,I36,0)))</f>
        <v>0</v>
      </c>
      <c r="P36" s="76">
        <f t="shared" ref="P36:Q47" si="12">IF($I$6=3,J12,IF($I$6=2,J24,IF($I$6=1,J36,0)))</f>
        <v>0</v>
      </c>
      <c r="Q36" s="77">
        <f t="shared" si="12"/>
        <v>0</v>
      </c>
      <c r="R36" s="68">
        <f t="shared" si="7"/>
        <v>0</v>
      </c>
      <c r="S36" s="51"/>
    </row>
    <row r="37" spans="1:19" ht="15.75" customHeight="1">
      <c r="A37" s="23">
        <v>26</v>
      </c>
      <c r="B37" s="43">
        <f t="shared" si="8"/>
        <v>0</v>
      </c>
      <c r="C37" s="123">
        <f t="shared" si="3"/>
        <v>0</v>
      </c>
      <c r="D37" s="43">
        <f t="shared" si="9"/>
        <v>0</v>
      </c>
      <c r="E37" s="68">
        <f t="shared" si="6"/>
        <v>0</v>
      </c>
      <c r="F37" s="51"/>
      <c r="G37" s="4198"/>
      <c r="H37" s="22" t="s">
        <v>18</v>
      </c>
      <c r="I37" s="43">
        <f>IF($B$8=12,B37,0)</f>
        <v>0</v>
      </c>
      <c r="J37" s="43">
        <f>IF($B$8=12,C37,0)</f>
        <v>0</v>
      </c>
      <c r="K37" s="68">
        <f>IF($B$8=12,D37,0)</f>
        <v>0</v>
      </c>
      <c r="M37" s="4195"/>
      <c r="N37" s="9" t="s">
        <v>18</v>
      </c>
      <c r="O37" s="43">
        <f t="shared" ref="O37:O47" si="13">IF($I$6=3,I13,IF($I$6=2,I25,IF($I$6=1,I37,0)))</f>
        <v>0</v>
      </c>
      <c r="P37" s="43">
        <f t="shared" si="12"/>
        <v>0</v>
      </c>
      <c r="Q37" s="44">
        <f t="shared" si="12"/>
        <v>0</v>
      </c>
      <c r="R37" s="68">
        <f t="shared" si="7"/>
        <v>0</v>
      </c>
      <c r="S37" s="51"/>
    </row>
    <row r="38" spans="1:19" ht="15.75" customHeight="1">
      <c r="A38" s="23">
        <v>27</v>
      </c>
      <c r="B38" s="43">
        <f t="shared" si="8"/>
        <v>0</v>
      </c>
      <c r="C38" s="123">
        <f t="shared" si="3"/>
        <v>0</v>
      </c>
      <c r="D38" s="43">
        <f t="shared" si="9"/>
        <v>0</v>
      </c>
      <c r="E38" s="68">
        <f t="shared" si="6"/>
        <v>0</v>
      </c>
      <c r="F38" s="51"/>
      <c r="G38" s="4198"/>
      <c r="H38" s="22" t="s">
        <v>19</v>
      </c>
      <c r="I38" s="43">
        <f>IF($B$8=12,B38,IF($B$8=6,B25,0))</f>
        <v>0</v>
      </c>
      <c r="J38" s="43">
        <f>IF($B$8=12,C38,IF($B$8=6,C25,0))</f>
        <v>0</v>
      </c>
      <c r="K38" s="68">
        <f>IF($B$8=12,D38,IF($B$8=6,D25,0))</f>
        <v>0</v>
      </c>
      <c r="M38" s="4195"/>
      <c r="N38" s="9" t="s">
        <v>19</v>
      </c>
      <c r="O38" s="43">
        <f t="shared" si="13"/>
        <v>0</v>
      </c>
      <c r="P38" s="43">
        <f t="shared" si="12"/>
        <v>0</v>
      </c>
      <c r="Q38" s="44">
        <f t="shared" si="12"/>
        <v>0</v>
      </c>
      <c r="R38" s="68">
        <f t="shared" si="7"/>
        <v>0</v>
      </c>
      <c r="S38" s="51"/>
    </row>
    <row r="39" spans="1:19" ht="15.75" customHeight="1">
      <c r="A39" s="23">
        <v>28</v>
      </c>
      <c r="B39" s="43">
        <f t="shared" si="8"/>
        <v>0</v>
      </c>
      <c r="C39" s="123">
        <f t="shared" si="3"/>
        <v>0</v>
      </c>
      <c r="D39" s="43">
        <f t="shared" si="9"/>
        <v>0</v>
      </c>
      <c r="E39" s="68">
        <f t="shared" si="6"/>
        <v>0</v>
      </c>
      <c r="F39" s="51"/>
      <c r="G39" s="4198"/>
      <c r="H39" s="22" t="s">
        <v>20</v>
      </c>
      <c r="I39" s="43">
        <f>IF($B$8=12,B39,IF($B$8=4,B21,IF($B$8=6,0,IF($B$8=3,0,0))))</f>
        <v>0</v>
      </c>
      <c r="J39" s="43">
        <f>IF($B$8=12,C39,IF($B$8=4,C21,IF($B$8=6,0,IF($B$8=3,0,0))))</f>
        <v>0</v>
      </c>
      <c r="K39" s="68">
        <f>IF($B$8=12,D39,IF($B$8=4,D21,IF($B$8=6,0,IF($B$8=3,0,0))))</f>
        <v>0</v>
      </c>
      <c r="M39" s="4195"/>
      <c r="N39" s="9" t="s">
        <v>20</v>
      </c>
      <c r="O39" s="43">
        <f t="shared" si="13"/>
        <v>0</v>
      </c>
      <c r="P39" s="43">
        <f t="shared" si="12"/>
        <v>0</v>
      </c>
      <c r="Q39" s="44">
        <f t="shared" si="12"/>
        <v>0</v>
      </c>
      <c r="R39" s="68">
        <f t="shared" si="7"/>
        <v>0</v>
      </c>
      <c r="S39" s="51"/>
    </row>
    <row r="40" spans="1:19" ht="15.75" customHeight="1">
      <c r="A40" s="23">
        <v>29</v>
      </c>
      <c r="B40" s="43">
        <f t="shared" si="8"/>
        <v>0</v>
      </c>
      <c r="C40" s="123">
        <f t="shared" si="3"/>
        <v>0</v>
      </c>
      <c r="D40" s="43">
        <f t="shared" si="9"/>
        <v>0</v>
      </c>
      <c r="E40" s="68">
        <f t="shared" si="6"/>
        <v>0</v>
      </c>
      <c r="F40" s="51"/>
      <c r="G40" s="4198"/>
      <c r="H40" s="22" t="s">
        <v>21</v>
      </c>
      <c r="I40" s="43">
        <f>IF($B$8=12,B40,IF($B$8=4,0,IF($B$8=6,B26,IF($B$8=3,B19,0))))</f>
        <v>0</v>
      </c>
      <c r="J40" s="43">
        <f>IF($B$8=12,C40,IF($B$8=4,0,IF($B$8=6,C26,IF($B$8=3,C19,0))))</f>
        <v>0</v>
      </c>
      <c r="K40" s="68">
        <f>IF($B$8=12,D40,IF($B$8=4,0,IF($B$8=6,D26,IF($B$8=3,D19,0))))</f>
        <v>0</v>
      </c>
      <c r="M40" s="4195"/>
      <c r="N40" s="9" t="s">
        <v>21</v>
      </c>
      <c r="O40" s="43">
        <f t="shared" si="13"/>
        <v>0</v>
      </c>
      <c r="P40" s="43">
        <f t="shared" si="12"/>
        <v>0</v>
      </c>
      <c r="Q40" s="44">
        <f t="shared" si="12"/>
        <v>0</v>
      </c>
      <c r="R40" s="68">
        <f t="shared" si="7"/>
        <v>0</v>
      </c>
      <c r="S40" s="51"/>
    </row>
    <row r="41" spans="1:19" ht="15.75" customHeight="1">
      <c r="A41" s="23">
        <v>30</v>
      </c>
      <c r="B41" s="43">
        <f t="shared" si="8"/>
        <v>0</v>
      </c>
      <c r="C41" s="123">
        <f t="shared" si="3"/>
        <v>0</v>
      </c>
      <c r="D41" s="43">
        <f t="shared" si="9"/>
        <v>0</v>
      </c>
      <c r="E41" s="68">
        <f t="shared" si="6"/>
        <v>0</v>
      </c>
      <c r="F41" s="51"/>
      <c r="G41" s="4198"/>
      <c r="H41" s="22" t="s">
        <v>22</v>
      </c>
      <c r="I41" s="43">
        <f>IF($B$8=12,B41,IF($B$8=4,0,IF($B$8=6,0,IF($B$8=3,0,0))))</f>
        <v>0</v>
      </c>
      <c r="J41" s="43">
        <f>IF($B$8=12,C41,IF($B$8=4,0,IF($B$8=6,0,IF($B$8=3,0,0))))</f>
        <v>0</v>
      </c>
      <c r="K41" s="68">
        <f>IF($B$8=12,D41,IF($B$8=4,0,IF($B$8=6,0,IF($B$8=3,0,0))))</f>
        <v>0</v>
      </c>
      <c r="M41" s="4195"/>
      <c r="N41" s="9" t="s">
        <v>22</v>
      </c>
      <c r="O41" s="43">
        <f t="shared" si="13"/>
        <v>0</v>
      </c>
      <c r="P41" s="43">
        <f t="shared" si="12"/>
        <v>0</v>
      </c>
      <c r="Q41" s="44">
        <f t="shared" si="12"/>
        <v>0</v>
      </c>
      <c r="R41" s="68">
        <f t="shared" si="7"/>
        <v>0</v>
      </c>
      <c r="S41" s="51"/>
    </row>
    <row r="42" spans="1:19" ht="15.75" customHeight="1">
      <c r="A42" s="23">
        <v>31</v>
      </c>
      <c r="B42" s="43">
        <f t="shared" si="8"/>
        <v>0</v>
      </c>
      <c r="C42" s="123">
        <f t="shared" si="3"/>
        <v>0</v>
      </c>
      <c r="D42" s="43">
        <f t="shared" si="9"/>
        <v>0</v>
      </c>
      <c r="E42" s="68">
        <f t="shared" si="6"/>
        <v>0</v>
      </c>
      <c r="F42" s="51"/>
      <c r="G42" s="4198"/>
      <c r="H42" s="22" t="s">
        <v>23</v>
      </c>
      <c r="I42" s="43">
        <f>IF($B$8=12,B42,IF($B$8=4,B22,IF($B$8=6,B27,IF($B$8=3,0,IF($B$8=2,B17,0)))))</f>
        <v>0</v>
      </c>
      <c r="J42" s="43">
        <f>IF($B$8=12,C42,IF($B$8=4,C22,IF($B$8=6,C27,IF($B$8=3,0,IF($B$8=2,C17,0)))))</f>
        <v>0</v>
      </c>
      <c r="K42" s="68">
        <f>IF($B$8=12,D42,IF($B$8=4,D22,IF($B$8=6,D27,IF($B$8=3,0,IF($B$8=2,D17,0)))))</f>
        <v>0</v>
      </c>
      <c r="M42" s="4195"/>
      <c r="N42" s="9" t="s">
        <v>23</v>
      </c>
      <c r="O42" s="43">
        <f t="shared" si="13"/>
        <v>0</v>
      </c>
      <c r="P42" s="43">
        <f t="shared" si="12"/>
        <v>0</v>
      </c>
      <c r="Q42" s="44">
        <f t="shared" si="12"/>
        <v>0</v>
      </c>
      <c r="R42" s="68">
        <f t="shared" si="7"/>
        <v>0</v>
      </c>
      <c r="S42" s="51"/>
    </row>
    <row r="43" spans="1:19" ht="15.75" customHeight="1">
      <c r="A43" s="23">
        <v>32</v>
      </c>
      <c r="B43" s="43">
        <f t="shared" si="8"/>
        <v>0</v>
      </c>
      <c r="C43" s="123">
        <f t="shared" si="3"/>
        <v>0</v>
      </c>
      <c r="D43" s="43">
        <f t="shared" si="9"/>
        <v>0</v>
      </c>
      <c r="E43" s="68">
        <f t="shared" si="6"/>
        <v>0</v>
      </c>
      <c r="F43" s="51"/>
      <c r="G43" s="4198"/>
      <c r="H43" s="22" t="s">
        <v>24</v>
      </c>
      <c r="I43" s="43">
        <f>IF($B$8=12,B43,IF($B$8=4,0,IF($B$8=6,0,IF($B$8=3,0,0))))</f>
        <v>0</v>
      </c>
      <c r="J43" s="43">
        <f>IF($B$8=12,C43,IF($B$8=4,0,IF($B$8=6,0,IF($B$8=3,0,0))))</f>
        <v>0</v>
      </c>
      <c r="K43" s="68">
        <f>IF($B$8=12,D43,IF($B$8=4,0,IF($B$8=6,0,IF($B$8=3,0,0))))</f>
        <v>0</v>
      </c>
      <c r="M43" s="4195"/>
      <c r="N43" s="9" t="s">
        <v>24</v>
      </c>
      <c r="O43" s="43">
        <f t="shared" si="13"/>
        <v>0</v>
      </c>
      <c r="P43" s="43">
        <f t="shared" si="12"/>
        <v>0</v>
      </c>
      <c r="Q43" s="44">
        <f t="shared" si="12"/>
        <v>0</v>
      </c>
      <c r="R43" s="68">
        <f t="shared" si="7"/>
        <v>0</v>
      </c>
      <c r="S43" s="51"/>
    </row>
    <row r="44" spans="1:19" ht="15.75" customHeight="1">
      <c r="A44" s="23">
        <v>33</v>
      </c>
      <c r="B44" s="43">
        <f t="shared" si="8"/>
        <v>0</v>
      </c>
      <c r="C44" s="123">
        <f t="shared" si="3"/>
        <v>0</v>
      </c>
      <c r="D44" s="43">
        <f t="shared" si="9"/>
        <v>0</v>
      </c>
      <c r="E44" s="68">
        <f t="shared" si="6"/>
        <v>0</v>
      </c>
      <c r="F44" s="51"/>
      <c r="G44" s="4198"/>
      <c r="H44" s="22" t="s">
        <v>25</v>
      </c>
      <c r="I44" s="43">
        <f>IF($B$8=12,B44,IF($B$8=4,0,IF($B$8=6,B28,IF($B$8=3,B20,0))))</f>
        <v>0</v>
      </c>
      <c r="J44" s="43">
        <f>IF($B$8=12,C44,IF($B$8=4,0,IF($B$8=6,C28,IF($B$8=3,C20,0))))</f>
        <v>0</v>
      </c>
      <c r="K44" s="68">
        <f>IF($B$8=12,D44,IF($B$8=4,0,IF($B$8=6,D28,IF($B$8=3,D20,0))))</f>
        <v>0</v>
      </c>
      <c r="M44" s="4195"/>
      <c r="N44" s="9" t="s">
        <v>25</v>
      </c>
      <c r="O44" s="43">
        <f t="shared" si="13"/>
        <v>0</v>
      </c>
      <c r="P44" s="43">
        <f t="shared" si="12"/>
        <v>0</v>
      </c>
      <c r="Q44" s="44">
        <f t="shared" si="12"/>
        <v>0</v>
      </c>
      <c r="R44" s="68">
        <f t="shared" si="7"/>
        <v>0</v>
      </c>
      <c r="S44" s="51"/>
    </row>
    <row r="45" spans="1:19" ht="15.75" customHeight="1">
      <c r="A45" s="23">
        <v>34</v>
      </c>
      <c r="B45" s="43">
        <f t="shared" si="8"/>
        <v>0</v>
      </c>
      <c r="C45" s="123">
        <f t="shared" si="3"/>
        <v>0</v>
      </c>
      <c r="D45" s="43">
        <f t="shared" si="9"/>
        <v>0</v>
      </c>
      <c r="E45" s="68">
        <f t="shared" si="6"/>
        <v>0</v>
      </c>
      <c r="F45" s="51"/>
      <c r="G45" s="4198"/>
      <c r="H45" s="22" t="s">
        <v>26</v>
      </c>
      <c r="I45" s="43">
        <f>IF($B$8=12,B45,IF($B$8=4,B23,IF($B$8=6,0,IF($B$8=3,0,0))))</f>
        <v>0</v>
      </c>
      <c r="J45" s="43">
        <f>IF($B$8=12,C45,IF($B$8=4,C23,IF($B$8=6,0,IF($B$8=3,0,0))))</f>
        <v>0</v>
      </c>
      <c r="K45" s="68">
        <f>IF($B$8=12,D45,IF($B$8=4,D23,IF($B$8=6,0,IF($B$8=3,0,0))))</f>
        <v>0</v>
      </c>
      <c r="M45" s="4195"/>
      <c r="N45" s="9" t="s">
        <v>26</v>
      </c>
      <c r="O45" s="43">
        <f t="shared" si="13"/>
        <v>0</v>
      </c>
      <c r="P45" s="43">
        <f t="shared" si="12"/>
        <v>0</v>
      </c>
      <c r="Q45" s="44">
        <f t="shared" si="12"/>
        <v>0</v>
      </c>
      <c r="R45" s="68">
        <f t="shared" si="7"/>
        <v>0</v>
      </c>
      <c r="S45" s="51"/>
    </row>
    <row r="46" spans="1:19" ht="15.75" customHeight="1">
      <c r="A46" s="23">
        <v>35</v>
      </c>
      <c r="B46" s="43">
        <f t="shared" si="8"/>
        <v>0</v>
      </c>
      <c r="C46" s="123">
        <f t="shared" si="3"/>
        <v>0</v>
      </c>
      <c r="D46" s="43">
        <f t="shared" si="9"/>
        <v>0</v>
      </c>
      <c r="E46" s="68">
        <f t="shared" si="6"/>
        <v>0</v>
      </c>
      <c r="F46" s="51"/>
      <c r="G46" s="4198"/>
      <c r="H46" s="22" t="s">
        <v>27</v>
      </c>
      <c r="I46" s="43">
        <f>IF($B$8=12,B46,IF($B$8=4,0,IF($B$8=6,B29,IF($B$8=3,0,0))))</f>
        <v>0</v>
      </c>
      <c r="J46" s="43">
        <f>IF($B$8=12,C46,IF($B$8=4,0,IF($B$8=6,C29,IF($B$8=3,0,0))))</f>
        <v>0</v>
      </c>
      <c r="K46" s="68">
        <f>IF($B$8=12,D46,IF($B$8=4,0,IF($B$8=6,D29,IF($B$8=3,0,0))))</f>
        <v>0</v>
      </c>
      <c r="M46" s="4195"/>
      <c r="N46" s="9" t="s">
        <v>27</v>
      </c>
      <c r="O46" s="43">
        <f t="shared" si="13"/>
        <v>0</v>
      </c>
      <c r="P46" s="43">
        <f t="shared" si="12"/>
        <v>0</v>
      </c>
      <c r="Q46" s="44">
        <f t="shared" si="12"/>
        <v>0</v>
      </c>
      <c r="R46" s="68">
        <f t="shared" si="7"/>
        <v>0</v>
      </c>
      <c r="S46" s="51"/>
    </row>
    <row r="47" spans="1:19" ht="15.75" customHeight="1" thickBot="1">
      <c r="A47" s="24">
        <v>36</v>
      </c>
      <c r="B47" s="70">
        <f t="shared" si="8"/>
        <v>0</v>
      </c>
      <c r="C47" s="139">
        <f t="shared" si="3"/>
        <v>0</v>
      </c>
      <c r="D47" s="70">
        <f t="shared" si="9"/>
        <v>0</v>
      </c>
      <c r="E47" s="75">
        <f t="shared" si="6"/>
        <v>0</v>
      </c>
      <c r="F47" s="243">
        <f>SUM(D36:D47)</f>
        <v>0</v>
      </c>
      <c r="G47" s="4199"/>
      <c r="H47" s="25" t="s">
        <v>28</v>
      </c>
      <c r="I47" s="70">
        <f>IF($B$8=12,B47,IF($B$8=4,0,IF($B$8=6,0,IF($B$8=3,0,0))))</f>
        <v>0</v>
      </c>
      <c r="J47" s="70">
        <f>IF($B$8=12,C47,IF($B$8=4,0,IF($B$8=6,0,IF($B$8=3,0,0))))</f>
        <v>0</v>
      </c>
      <c r="K47" s="72">
        <f>IF($B$8=12,D47,IF($B$8=4,0,IF($B$8=6,0,IF($B$8=3,0,0))))</f>
        <v>0</v>
      </c>
      <c r="M47" s="4196"/>
      <c r="N47" s="35" t="s">
        <v>28</v>
      </c>
      <c r="O47" s="45">
        <f t="shared" si="13"/>
        <v>0</v>
      </c>
      <c r="P47" s="45">
        <f t="shared" si="12"/>
        <v>0</v>
      </c>
      <c r="Q47" s="46">
        <f t="shared" si="12"/>
        <v>0</v>
      </c>
      <c r="R47" s="75">
        <f t="shared" si="7"/>
        <v>0</v>
      </c>
      <c r="S47" s="1100">
        <f>SUM(Q36:Q47)</f>
        <v>0</v>
      </c>
    </row>
    <row r="48" spans="1:19" ht="15.75" customHeight="1">
      <c r="A48" s="23">
        <v>37</v>
      </c>
      <c r="B48" s="43">
        <f t="shared" si="8"/>
        <v>0</v>
      </c>
      <c r="C48" s="123">
        <f t="shared" si="3"/>
        <v>0</v>
      </c>
      <c r="D48" s="43">
        <f t="shared" si="9"/>
        <v>0</v>
      </c>
      <c r="E48" s="68">
        <f t="shared" si="6"/>
        <v>0</v>
      </c>
      <c r="F48" s="51"/>
      <c r="G48" s="4197">
        <f>G36+1</f>
        <v>3</v>
      </c>
      <c r="H48" s="22" t="s">
        <v>17</v>
      </c>
      <c r="I48" s="43">
        <f>IF($B$8=12,B48,IF($B$8=4,B24,IF($B$8=6,B30,IF($B$8=3,B21,IF($B$8=2,B18,IF($B$8=1,B15,0))))))</f>
        <v>0</v>
      </c>
      <c r="J48" s="43">
        <f>IF($B$8=12,C48,IF($B$8=4,C24,IF($B$8=6,C30,IF($B$8=3,C21,IF($B$8=2,C18,IF($B$8=1,C15,0))))))</f>
        <v>0</v>
      </c>
      <c r="K48" s="68">
        <f>IF($B$8=12,D48,IF($B$8=4,D24,IF($B$8=6,D30,IF($B$8=3,D21,IF($B$8=2,D18,IF($B$8=1,D15,0))))))</f>
        <v>0</v>
      </c>
      <c r="M48" s="4194">
        <f>M12+3</f>
        <v>3</v>
      </c>
      <c r="N48" s="9" t="s">
        <v>17</v>
      </c>
      <c r="O48" s="76">
        <f>IF($I$6=4,I12,IF($I$6=3,I24,IF($I$6=2,I36,IF($I$6=1,I48,0))))</f>
        <v>0</v>
      </c>
      <c r="P48" s="76">
        <f t="shared" ref="P48:Q59" si="14">IF($I$6=4,J12,IF($I$6=3,J24,IF($I$6=2,J36,IF($I$6=1,J48,0))))</f>
        <v>0</v>
      </c>
      <c r="Q48" s="77">
        <f t="shared" si="14"/>
        <v>0</v>
      </c>
      <c r="R48" s="68">
        <f t="shared" si="7"/>
        <v>0</v>
      </c>
      <c r="S48" s="51"/>
    </row>
    <row r="49" spans="1:19" ht="15.75" customHeight="1">
      <c r="A49" s="23">
        <v>38</v>
      </c>
      <c r="B49" s="43">
        <f t="shared" si="8"/>
        <v>0</v>
      </c>
      <c r="C49" s="123">
        <f t="shared" si="3"/>
        <v>0</v>
      </c>
      <c r="D49" s="43">
        <f t="shared" si="9"/>
        <v>0</v>
      </c>
      <c r="E49" s="68">
        <f t="shared" si="6"/>
        <v>0</v>
      </c>
      <c r="F49" s="51"/>
      <c r="G49" s="4198"/>
      <c r="H49" s="22" t="s">
        <v>18</v>
      </c>
      <c r="I49" s="43">
        <f>IF($B$8=12,B49,0)</f>
        <v>0</v>
      </c>
      <c r="J49" s="43">
        <f>IF($B$8=12,C49,0)</f>
        <v>0</v>
      </c>
      <c r="K49" s="68">
        <f>IF($B$8=12,D49,0)</f>
        <v>0</v>
      </c>
      <c r="M49" s="4195"/>
      <c r="N49" s="9" t="s">
        <v>18</v>
      </c>
      <c r="O49" s="43">
        <f t="shared" ref="O49:O59" si="15">IF($I$6=4,I13,IF($I$6=3,I25,IF($I$6=2,I37,IF($I$6=1,I49,0))))</f>
        <v>0</v>
      </c>
      <c r="P49" s="43">
        <f t="shared" si="14"/>
        <v>0</v>
      </c>
      <c r="Q49" s="44">
        <f t="shared" si="14"/>
        <v>0</v>
      </c>
      <c r="R49" s="68">
        <f t="shared" si="7"/>
        <v>0</v>
      </c>
      <c r="S49" s="51"/>
    </row>
    <row r="50" spans="1:19" ht="15.75" customHeight="1">
      <c r="A50" s="23">
        <v>39</v>
      </c>
      <c r="B50" s="43">
        <f t="shared" si="8"/>
        <v>0</v>
      </c>
      <c r="C50" s="123">
        <f t="shared" si="3"/>
        <v>0</v>
      </c>
      <c r="D50" s="43">
        <f t="shared" si="9"/>
        <v>0</v>
      </c>
      <c r="E50" s="68">
        <f t="shared" si="6"/>
        <v>0</v>
      </c>
      <c r="F50" s="51"/>
      <c r="G50" s="4198"/>
      <c r="H50" s="22" t="s">
        <v>19</v>
      </c>
      <c r="I50" s="43">
        <f>IF($B$8=12,B50,IF($B$8=6,B31,0))</f>
        <v>0</v>
      </c>
      <c r="J50" s="43">
        <f>IF($B$8=12,C50,IF($B$8=6,C31,0))</f>
        <v>0</v>
      </c>
      <c r="K50" s="68">
        <f>IF($B$8=12,D50,IF($B$8=6,D31,0))</f>
        <v>0</v>
      </c>
      <c r="M50" s="4195"/>
      <c r="N50" s="9" t="s">
        <v>19</v>
      </c>
      <c r="O50" s="43">
        <f t="shared" si="15"/>
        <v>0</v>
      </c>
      <c r="P50" s="43">
        <f t="shared" si="14"/>
        <v>0</v>
      </c>
      <c r="Q50" s="44">
        <f t="shared" si="14"/>
        <v>0</v>
      </c>
      <c r="R50" s="68">
        <f t="shared" si="7"/>
        <v>0</v>
      </c>
      <c r="S50" s="51"/>
    </row>
    <row r="51" spans="1:19" ht="15.75" customHeight="1">
      <c r="A51" s="23">
        <v>40</v>
      </c>
      <c r="B51" s="43">
        <f t="shared" si="8"/>
        <v>0</v>
      </c>
      <c r="C51" s="123">
        <f t="shared" si="3"/>
        <v>0</v>
      </c>
      <c r="D51" s="43">
        <f t="shared" si="9"/>
        <v>0</v>
      </c>
      <c r="E51" s="68">
        <f t="shared" si="6"/>
        <v>0</v>
      </c>
      <c r="F51" s="51"/>
      <c r="G51" s="4198"/>
      <c r="H51" s="22" t="s">
        <v>20</v>
      </c>
      <c r="I51" s="43">
        <f>IF($B$8=12,B51,IF($B$8=4,B25,IF($B$8=6,0,IF($B$8=3,0,0))))</f>
        <v>0</v>
      </c>
      <c r="J51" s="43">
        <f>IF($B$8=12,C51,IF($B$8=4,C25,IF($B$8=6,0,IF($B$8=3,0,0))))</f>
        <v>0</v>
      </c>
      <c r="K51" s="68">
        <f>IF($B$8=12,D51,IF($B$8=4,D25,IF($B$8=6,0,IF($B$8=3,0,0))))</f>
        <v>0</v>
      </c>
      <c r="M51" s="4195"/>
      <c r="N51" s="9" t="s">
        <v>20</v>
      </c>
      <c r="O51" s="43">
        <f t="shared" si="15"/>
        <v>0</v>
      </c>
      <c r="P51" s="43">
        <f t="shared" si="14"/>
        <v>0</v>
      </c>
      <c r="Q51" s="44">
        <f t="shared" si="14"/>
        <v>0</v>
      </c>
      <c r="R51" s="68">
        <f t="shared" si="7"/>
        <v>0</v>
      </c>
      <c r="S51" s="51"/>
    </row>
    <row r="52" spans="1:19" ht="15.75" customHeight="1">
      <c r="A52" s="23">
        <v>41</v>
      </c>
      <c r="B52" s="43">
        <f t="shared" si="8"/>
        <v>0</v>
      </c>
      <c r="C52" s="123">
        <f t="shared" si="3"/>
        <v>0</v>
      </c>
      <c r="D52" s="43">
        <f t="shared" si="9"/>
        <v>0</v>
      </c>
      <c r="E52" s="68">
        <f t="shared" si="6"/>
        <v>0</v>
      </c>
      <c r="F52" s="51"/>
      <c r="G52" s="4198"/>
      <c r="H52" s="22" t="s">
        <v>21</v>
      </c>
      <c r="I52" s="43">
        <f>IF($B$8=12,B52,IF($B$8=4,0,IF($B$8=6,B32,IF($B$8=3,B22,0))))</f>
        <v>0</v>
      </c>
      <c r="J52" s="43">
        <f>IF($B$8=12,C52,IF($B$8=4,0,IF($B$8=6,C32,IF($B$8=3,C22,0))))</f>
        <v>0</v>
      </c>
      <c r="K52" s="68">
        <f>IF($B$8=12,D52,IF($B$8=4,0,IF($B$8=6,D32,IF($B$8=3,D22,0))))</f>
        <v>0</v>
      </c>
      <c r="M52" s="4195"/>
      <c r="N52" s="9" t="s">
        <v>21</v>
      </c>
      <c r="O52" s="43">
        <f t="shared" si="15"/>
        <v>0</v>
      </c>
      <c r="P52" s="43">
        <f t="shared" si="14"/>
        <v>0</v>
      </c>
      <c r="Q52" s="44">
        <f t="shared" si="14"/>
        <v>0</v>
      </c>
      <c r="R52" s="68">
        <f t="shared" si="7"/>
        <v>0</v>
      </c>
      <c r="S52" s="51"/>
    </row>
    <row r="53" spans="1:19" ht="15.75" customHeight="1">
      <c r="A53" s="23">
        <v>42</v>
      </c>
      <c r="B53" s="43">
        <f t="shared" si="8"/>
        <v>0</v>
      </c>
      <c r="C53" s="123">
        <f t="shared" si="3"/>
        <v>0</v>
      </c>
      <c r="D53" s="43">
        <f t="shared" si="9"/>
        <v>0</v>
      </c>
      <c r="E53" s="68">
        <f t="shared" si="6"/>
        <v>0</v>
      </c>
      <c r="F53" s="51"/>
      <c r="G53" s="4198"/>
      <c r="H53" s="22" t="s">
        <v>22</v>
      </c>
      <c r="I53" s="43">
        <f>IF($B$8=12,B53,IF($B$8=4,0,IF($B$8=6,0,IF($B$8=3,0,0))))</f>
        <v>0</v>
      </c>
      <c r="J53" s="43">
        <f>IF($B$8=12,C53,IF($B$8=4,0,IF($B$8=6,0,IF($B$8=3,0,0))))</f>
        <v>0</v>
      </c>
      <c r="K53" s="68">
        <f>IF($B$8=12,D53,IF($B$8=4,0,IF($B$8=6,0,IF($B$8=3,0,0))))</f>
        <v>0</v>
      </c>
      <c r="M53" s="4195"/>
      <c r="N53" s="9" t="s">
        <v>22</v>
      </c>
      <c r="O53" s="43">
        <f t="shared" si="15"/>
        <v>0</v>
      </c>
      <c r="P53" s="43">
        <f t="shared" si="14"/>
        <v>0</v>
      </c>
      <c r="Q53" s="44">
        <f t="shared" si="14"/>
        <v>0</v>
      </c>
      <c r="R53" s="68">
        <f t="shared" si="7"/>
        <v>0</v>
      </c>
      <c r="S53" s="51"/>
    </row>
    <row r="54" spans="1:19" ht="15.75" customHeight="1">
      <c r="A54" s="23">
        <v>43</v>
      </c>
      <c r="B54" s="43">
        <f t="shared" si="8"/>
        <v>0</v>
      </c>
      <c r="C54" s="123">
        <f t="shared" si="3"/>
        <v>0</v>
      </c>
      <c r="D54" s="43">
        <f t="shared" si="9"/>
        <v>0</v>
      </c>
      <c r="E54" s="68">
        <f t="shared" si="6"/>
        <v>0</v>
      </c>
      <c r="F54" s="51"/>
      <c r="G54" s="4198"/>
      <c r="H54" s="22" t="s">
        <v>23</v>
      </c>
      <c r="I54" s="43">
        <f>IF($B$8=12,B54,IF($B$8=4,B26,IF($B$8=6,B33,IF($B$8=3,0,IF($B$8=2,B19,0)))))</f>
        <v>0</v>
      </c>
      <c r="J54" s="43">
        <f>IF($B$8=12,C54,IF($B$8=4,C26,IF($B$8=6,C33,IF($B$8=3,0,IF($B$8=2,C19,0)))))</f>
        <v>0</v>
      </c>
      <c r="K54" s="68">
        <f>IF($B$8=12,D54,IF($B$8=4,D26,IF($B$8=6,D33,IF($B$8=3,0,IF($B$8=2,D19,0)))))</f>
        <v>0</v>
      </c>
      <c r="M54" s="4195"/>
      <c r="N54" s="9" t="s">
        <v>23</v>
      </c>
      <c r="O54" s="43">
        <f t="shared" si="15"/>
        <v>0</v>
      </c>
      <c r="P54" s="43">
        <f t="shared" si="14"/>
        <v>0</v>
      </c>
      <c r="Q54" s="44">
        <f t="shared" si="14"/>
        <v>0</v>
      </c>
      <c r="R54" s="68">
        <f t="shared" si="7"/>
        <v>0</v>
      </c>
      <c r="S54" s="51"/>
    </row>
    <row r="55" spans="1:19" ht="15.75" customHeight="1">
      <c r="A55" s="23">
        <v>44</v>
      </c>
      <c r="B55" s="43">
        <f t="shared" si="8"/>
        <v>0</v>
      </c>
      <c r="C55" s="123">
        <f t="shared" si="3"/>
        <v>0</v>
      </c>
      <c r="D55" s="43">
        <f t="shared" si="9"/>
        <v>0</v>
      </c>
      <c r="E55" s="68">
        <f t="shared" si="6"/>
        <v>0</v>
      </c>
      <c r="F55" s="51"/>
      <c r="G55" s="4198"/>
      <c r="H55" s="22" t="s">
        <v>24</v>
      </c>
      <c r="I55" s="43">
        <f>IF($B$8=12,B55,IF($B$8=4,0,IF($B$8=6,0,IF($B$8=3,0,0))))</f>
        <v>0</v>
      </c>
      <c r="J55" s="43">
        <f>IF($B$8=12,C55,IF($B$8=4,0,IF($B$8=6,0,IF($B$8=3,0,0))))</f>
        <v>0</v>
      </c>
      <c r="K55" s="68">
        <f>IF($B$8=12,D55,IF($B$8=4,0,IF($B$8=6,0,IF($B$8=3,0,0))))</f>
        <v>0</v>
      </c>
      <c r="M55" s="4195"/>
      <c r="N55" s="9" t="s">
        <v>24</v>
      </c>
      <c r="O55" s="43">
        <f t="shared" si="15"/>
        <v>0</v>
      </c>
      <c r="P55" s="43">
        <f t="shared" si="14"/>
        <v>0</v>
      </c>
      <c r="Q55" s="44">
        <f t="shared" si="14"/>
        <v>0</v>
      </c>
      <c r="R55" s="68">
        <f t="shared" si="7"/>
        <v>0</v>
      </c>
      <c r="S55" s="51"/>
    </row>
    <row r="56" spans="1:19" ht="15.75" customHeight="1">
      <c r="A56" s="23">
        <v>45</v>
      </c>
      <c r="B56" s="43">
        <f t="shared" si="8"/>
        <v>0</v>
      </c>
      <c r="C56" s="123">
        <f t="shared" si="3"/>
        <v>0</v>
      </c>
      <c r="D56" s="43">
        <f t="shared" si="9"/>
        <v>0</v>
      </c>
      <c r="E56" s="68">
        <f t="shared" si="6"/>
        <v>0</v>
      </c>
      <c r="F56" s="51"/>
      <c r="G56" s="4198"/>
      <c r="H56" s="22" t="s">
        <v>25</v>
      </c>
      <c r="I56" s="43">
        <f>IF($B$8=12,B56,IF($B$8=4,0,IF($B$8=6,B34,IF($B$8=3,B23,0))))</f>
        <v>0</v>
      </c>
      <c r="J56" s="43">
        <f>IF($B$8=12,C56,IF($B$8=4,0,IF($B$8=6,C34,IF($B$8=3,C23,0))))</f>
        <v>0</v>
      </c>
      <c r="K56" s="68">
        <f>IF($B$8=12,D56,IF($B$8=4,0,IF($B$8=6,D34,IF($B$8=3,D23,0))))</f>
        <v>0</v>
      </c>
      <c r="M56" s="4195"/>
      <c r="N56" s="9" t="s">
        <v>25</v>
      </c>
      <c r="O56" s="43">
        <f t="shared" si="15"/>
        <v>0</v>
      </c>
      <c r="P56" s="43">
        <f t="shared" si="14"/>
        <v>0</v>
      </c>
      <c r="Q56" s="44">
        <f t="shared" si="14"/>
        <v>0</v>
      </c>
      <c r="R56" s="68">
        <f t="shared" si="7"/>
        <v>0</v>
      </c>
      <c r="S56" s="51"/>
    </row>
    <row r="57" spans="1:19" ht="15.75" customHeight="1">
      <c r="A57" s="23">
        <v>46</v>
      </c>
      <c r="B57" s="43">
        <f t="shared" si="8"/>
        <v>0</v>
      </c>
      <c r="C57" s="123">
        <f t="shared" si="3"/>
        <v>0</v>
      </c>
      <c r="D57" s="43">
        <f t="shared" si="9"/>
        <v>0</v>
      </c>
      <c r="E57" s="68">
        <f t="shared" si="6"/>
        <v>0</v>
      </c>
      <c r="F57" s="51"/>
      <c r="G57" s="4198"/>
      <c r="H57" s="22" t="s">
        <v>26</v>
      </c>
      <c r="I57" s="43">
        <f>IF($B$8=12,B57,IF($B$8=4,B27,IF($B$8=6,0,IF($B$8=3,0,0))))</f>
        <v>0</v>
      </c>
      <c r="J57" s="43">
        <f>IF($B$8=12,C57,IF($B$8=4,C27,IF($B$8=6,0,IF($B$8=3,0,0))))</f>
        <v>0</v>
      </c>
      <c r="K57" s="68">
        <f>IF($B$8=12,D57,IF($B$8=4,D27,IF($B$8=6,0,IF($B$8=3,0,0))))</f>
        <v>0</v>
      </c>
      <c r="M57" s="4195"/>
      <c r="N57" s="9" t="s">
        <v>26</v>
      </c>
      <c r="O57" s="43">
        <f t="shared" si="15"/>
        <v>0</v>
      </c>
      <c r="P57" s="43">
        <f t="shared" si="14"/>
        <v>0</v>
      </c>
      <c r="Q57" s="44">
        <f t="shared" si="14"/>
        <v>0</v>
      </c>
      <c r="R57" s="68">
        <f t="shared" si="7"/>
        <v>0</v>
      </c>
      <c r="S57" s="51"/>
    </row>
    <row r="58" spans="1:19" ht="15.75" customHeight="1">
      <c r="A58" s="23">
        <v>47</v>
      </c>
      <c r="B58" s="43">
        <f t="shared" si="8"/>
        <v>0</v>
      </c>
      <c r="C58" s="123">
        <f t="shared" si="3"/>
        <v>0</v>
      </c>
      <c r="D58" s="43">
        <f t="shared" si="9"/>
        <v>0</v>
      </c>
      <c r="E58" s="68">
        <f t="shared" si="6"/>
        <v>0</v>
      </c>
      <c r="F58" s="51"/>
      <c r="G58" s="4198"/>
      <c r="H58" s="22" t="s">
        <v>27</v>
      </c>
      <c r="I58" s="43">
        <f>IF($B$8=12,B58,IF($B$8=4,0,IF($B$8=6,B35,IF($B$8=3,0,0))))</f>
        <v>0</v>
      </c>
      <c r="J58" s="43">
        <f>IF($B$8=12,C58,IF($B$8=4,0,IF($B$8=6,C35,IF($B$8=3,0,0))))</f>
        <v>0</v>
      </c>
      <c r="K58" s="68">
        <f>IF($B$8=12,D58,IF($B$8=4,0,IF($B$8=6,D35,IF($B$8=3,0,0))))</f>
        <v>0</v>
      </c>
      <c r="M58" s="4195"/>
      <c r="N58" s="9" t="s">
        <v>27</v>
      </c>
      <c r="O58" s="43">
        <f t="shared" si="15"/>
        <v>0</v>
      </c>
      <c r="P58" s="43">
        <f t="shared" si="14"/>
        <v>0</v>
      </c>
      <c r="Q58" s="44">
        <f t="shared" si="14"/>
        <v>0</v>
      </c>
      <c r="R58" s="68">
        <f t="shared" si="7"/>
        <v>0</v>
      </c>
      <c r="S58" s="51"/>
    </row>
    <row r="59" spans="1:19" ht="15.75" customHeight="1" thickBot="1">
      <c r="A59" s="24">
        <v>48</v>
      </c>
      <c r="B59" s="70">
        <f t="shared" si="8"/>
        <v>0</v>
      </c>
      <c r="C59" s="139">
        <f t="shared" si="3"/>
        <v>0</v>
      </c>
      <c r="D59" s="70">
        <f t="shared" si="9"/>
        <v>0</v>
      </c>
      <c r="E59" s="75">
        <f t="shared" si="6"/>
        <v>0</v>
      </c>
      <c r="F59" s="243">
        <f>SUM(D48:D59)</f>
        <v>0</v>
      </c>
      <c r="G59" s="4199"/>
      <c r="H59" s="25" t="s">
        <v>28</v>
      </c>
      <c r="I59" s="70">
        <f>IF($B$8=12,B59,IF($B$8=4,0,IF($B$8=6,0,IF($B$8=3,0,0))))</f>
        <v>0</v>
      </c>
      <c r="J59" s="70">
        <f>IF($B$8=12,C59,IF($B$8=4,0,IF($B$8=6,0,IF($B$8=3,0,0))))</f>
        <v>0</v>
      </c>
      <c r="K59" s="72">
        <f>IF($B$8=12,D59,IF($B$8=4,0,IF($B$8=6,0,IF($B$8=3,0,0))))</f>
        <v>0</v>
      </c>
      <c r="M59" s="4196"/>
      <c r="N59" s="35" t="s">
        <v>28</v>
      </c>
      <c r="O59" s="45">
        <f t="shared" si="15"/>
        <v>0</v>
      </c>
      <c r="P59" s="45">
        <f t="shared" si="14"/>
        <v>0</v>
      </c>
      <c r="Q59" s="46">
        <f t="shared" si="14"/>
        <v>0</v>
      </c>
      <c r="R59" s="75">
        <f t="shared" si="7"/>
        <v>0</v>
      </c>
      <c r="S59" s="1100">
        <f>SUM(Q48:Q59)</f>
        <v>0</v>
      </c>
    </row>
    <row r="60" spans="1:19" ht="15.75" customHeight="1">
      <c r="A60" s="23">
        <v>49</v>
      </c>
      <c r="B60" s="43">
        <f t="shared" si="8"/>
        <v>0</v>
      </c>
      <c r="C60" s="123">
        <f t="shared" si="3"/>
        <v>0</v>
      </c>
      <c r="D60" s="43">
        <f t="shared" si="9"/>
        <v>0</v>
      </c>
      <c r="E60" s="68">
        <f t="shared" si="6"/>
        <v>0</v>
      </c>
      <c r="F60" s="51"/>
      <c r="G60" s="4197">
        <f>G48+1</f>
        <v>4</v>
      </c>
      <c r="H60" s="22" t="s">
        <v>17</v>
      </c>
      <c r="I60" s="43">
        <f>IF($B$8=12,B60,IF($B$8=4,B28,IF($B$8=6,B36,IF($B$8=3,B24,IF($B$8=2,B20,IF($B$8=1,B16,0))))))</f>
        <v>0</v>
      </c>
      <c r="J60" s="43">
        <f>IF($B$8=12,C60,IF($B$8=4,C28,IF($B$8=6,C36,IF($B$8=3,C24,IF($B$8=2,C20,IF($B$8=1,C16,0))))))</f>
        <v>0</v>
      </c>
      <c r="K60" s="68">
        <f>IF($B$8=12,D60,IF($B$8=4,D28,IF($B$8=6,D36,IF($B$8=3,D24,IF($B$8=2,D20,IF($B$8=1,D16,0))))))</f>
        <v>0</v>
      </c>
      <c r="M60" s="4194">
        <f>M12+4</f>
        <v>4</v>
      </c>
      <c r="N60" s="9" t="s">
        <v>17</v>
      </c>
      <c r="O60" s="76">
        <f>IF($I$6=5,I12,IF($I$6=4,I24,IF($I$6=3,I36,IF($I$6=2,I48,IF($I$6=1,I60,0)))))</f>
        <v>0</v>
      </c>
      <c r="P60" s="76">
        <f t="shared" ref="P60:Q71" si="16">IF($I$6=5,J12,IF($I$6=4,J24,IF($I$6=3,J36,IF($I$6=2,J48,IF($I$6=1,J60,0)))))</f>
        <v>0</v>
      </c>
      <c r="Q60" s="77">
        <f t="shared" si="16"/>
        <v>0</v>
      </c>
      <c r="R60" s="68">
        <f t="shared" si="7"/>
        <v>0</v>
      </c>
      <c r="S60" s="51"/>
    </row>
    <row r="61" spans="1:19" ht="15.75" customHeight="1">
      <c r="A61" s="23">
        <v>50</v>
      </c>
      <c r="B61" s="43">
        <f t="shared" si="8"/>
        <v>0</v>
      </c>
      <c r="C61" s="123">
        <f t="shared" si="3"/>
        <v>0</v>
      </c>
      <c r="D61" s="43">
        <f t="shared" si="9"/>
        <v>0</v>
      </c>
      <c r="E61" s="68">
        <f t="shared" si="6"/>
        <v>0</v>
      </c>
      <c r="F61" s="51"/>
      <c r="G61" s="4198"/>
      <c r="H61" s="22" t="s">
        <v>18</v>
      </c>
      <c r="I61" s="43">
        <f>IF($B$8=12,B61,0)</f>
        <v>0</v>
      </c>
      <c r="J61" s="43">
        <f>IF($B$8=12,C61,0)</f>
        <v>0</v>
      </c>
      <c r="K61" s="68">
        <f>IF($B$8=12,D61,0)</f>
        <v>0</v>
      </c>
      <c r="M61" s="4195"/>
      <c r="N61" s="9" t="s">
        <v>18</v>
      </c>
      <c r="O61" s="43">
        <f t="shared" ref="O61:O71" si="17">IF($I$6=5,I13,IF($I$6=4,I25,IF($I$6=3,I37,IF($I$6=2,I49,IF($I$6=1,I61,0)))))</f>
        <v>0</v>
      </c>
      <c r="P61" s="43">
        <f t="shared" si="16"/>
        <v>0</v>
      </c>
      <c r="Q61" s="44">
        <f t="shared" si="16"/>
        <v>0</v>
      </c>
      <c r="R61" s="68">
        <f t="shared" si="7"/>
        <v>0</v>
      </c>
      <c r="S61" s="51"/>
    </row>
    <row r="62" spans="1:19" ht="15.75" customHeight="1">
      <c r="A62" s="23">
        <v>51</v>
      </c>
      <c r="B62" s="43">
        <f t="shared" si="8"/>
        <v>0</v>
      </c>
      <c r="C62" s="123">
        <f t="shared" si="3"/>
        <v>0</v>
      </c>
      <c r="D62" s="43">
        <f t="shared" si="9"/>
        <v>0</v>
      </c>
      <c r="E62" s="68">
        <f t="shared" si="6"/>
        <v>0</v>
      </c>
      <c r="F62" s="51"/>
      <c r="G62" s="4198"/>
      <c r="H62" s="22" t="s">
        <v>19</v>
      </c>
      <c r="I62" s="43">
        <f>IF($B$8=12,B62,IF($B$8=6,B37,0))</f>
        <v>0</v>
      </c>
      <c r="J62" s="43">
        <f>IF($B$8=12,C62,IF($B$8=6,C37,0))</f>
        <v>0</v>
      </c>
      <c r="K62" s="68">
        <f>IF($B$8=12,D62,IF($B$8=6,D37,0))</f>
        <v>0</v>
      </c>
      <c r="M62" s="4195"/>
      <c r="N62" s="9" t="s">
        <v>19</v>
      </c>
      <c r="O62" s="43">
        <f t="shared" si="17"/>
        <v>0</v>
      </c>
      <c r="P62" s="43">
        <f t="shared" si="16"/>
        <v>0</v>
      </c>
      <c r="Q62" s="44">
        <f t="shared" si="16"/>
        <v>0</v>
      </c>
      <c r="R62" s="68">
        <f t="shared" si="7"/>
        <v>0</v>
      </c>
      <c r="S62" s="51"/>
    </row>
    <row r="63" spans="1:19" ht="15.75" customHeight="1">
      <c r="A63" s="23">
        <v>52</v>
      </c>
      <c r="B63" s="43">
        <f t="shared" si="8"/>
        <v>0</v>
      </c>
      <c r="C63" s="123">
        <f t="shared" si="3"/>
        <v>0</v>
      </c>
      <c r="D63" s="43">
        <f t="shared" si="9"/>
        <v>0</v>
      </c>
      <c r="E63" s="68">
        <f t="shared" si="6"/>
        <v>0</v>
      </c>
      <c r="F63" s="51"/>
      <c r="G63" s="4198"/>
      <c r="H63" s="22" t="s">
        <v>20</v>
      </c>
      <c r="I63" s="43">
        <f>IF($B$8=12,B63,IF($B$8=4,B29,IF($B$8=6,0,IF($B$8=3,0,0))))</f>
        <v>0</v>
      </c>
      <c r="J63" s="43">
        <f>IF($B$8=12,C63,IF($B$8=4,C29,IF($B$8=6,0,IF($B$8=3,0,0))))</f>
        <v>0</v>
      </c>
      <c r="K63" s="68">
        <f>IF($B$8=12,D63,IF($B$8=4,D29,IF($B$8=6,0,IF($B$8=3,0,0))))</f>
        <v>0</v>
      </c>
      <c r="M63" s="4195"/>
      <c r="N63" s="9" t="s">
        <v>20</v>
      </c>
      <c r="O63" s="43">
        <f t="shared" si="17"/>
        <v>0</v>
      </c>
      <c r="P63" s="43">
        <f t="shared" si="16"/>
        <v>0</v>
      </c>
      <c r="Q63" s="44">
        <f t="shared" si="16"/>
        <v>0</v>
      </c>
      <c r="R63" s="68">
        <f t="shared" si="7"/>
        <v>0</v>
      </c>
      <c r="S63" s="51"/>
    </row>
    <row r="64" spans="1:19" ht="15.75" customHeight="1">
      <c r="A64" s="23">
        <v>53</v>
      </c>
      <c r="B64" s="43">
        <f t="shared" si="8"/>
        <v>0</v>
      </c>
      <c r="C64" s="123">
        <f t="shared" si="3"/>
        <v>0</v>
      </c>
      <c r="D64" s="43">
        <f t="shared" si="9"/>
        <v>0</v>
      </c>
      <c r="E64" s="68">
        <f t="shared" si="6"/>
        <v>0</v>
      </c>
      <c r="F64" s="51"/>
      <c r="G64" s="4198"/>
      <c r="H64" s="22" t="s">
        <v>21</v>
      </c>
      <c r="I64" s="43">
        <f>IF($B$8=12,B64,IF($B$8=4,0,IF($B$8=6,B38,IF($B$8=3,B25,0))))</f>
        <v>0</v>
      </c>
      <c r="J64" s="43">
        <f>IF($B$8=12,C64,IF($B$8=4,0,IF($B$8=6,C38,IF($B$8=3,C25,0))))</f>
        <v>0</v>
      </c>
      <c r="K64" s="68">
        <f>IF($B$8=12,D64,IF($B$8=4,0,IF($B$8=6,D38,IF($B$8=3,D25,0))))</f>
        <v>0</v>
      </c>
      <c r="M64" s="4195"/>
      <c r="N64" s="9" t="s">
        <v>21</v>
      </c>
      <c r="O64" s="43">
        <f t="shared" si="17"/>
        <v>0</v>
      </c>
      <c r="P64" s="43">
        <f t="shared" si="16"/>
        <v>0</v>
      </c>
      <c r="Q64" s="44">
        <f t="shared" si="16"/>
        <v>0</v>
      </c>
      <c r="R64" s="68">
        <f t="shared" si="7"/>
        <v>0</v>
      </c>
      <c r="S64" s="51"/>
    </row>
    <row r="65" spans="1:19" ht="15.75" customHeight="1">
      <c r="A65" s="23">
        <v>54</v>
      </c>
      <c r="B65" s="43">
        <f t="shared" si="8"/>
        <v>0</v>
      </c>
      <c r="C65" s="123">
        <f t="shared" si="3"/>
        <v>0</v>
      </c>
      <c r="D65" s="43">
        <f t="shared" si="9"/>
        <v>0</v>
      </c>
      <c r="E65" s="68">
        <f t="shared" si="6"/>
        <v>0</v>
      </c>
      <c r="F65" s="51"/>
      <c r="G65" s="4198"/>
      <c r="H65" s="22" t="s">
        <v>22</v>
      </c>
      <c r="I65" s="43">
        <f>IF($B$8=12,B65,IF($B$8=4,0,IF($B$8=6,0,IF($B$8=3,0,0))))</f>
        <v>0</v>
      </c>
      <c r="J65" s="43">
        <f>IF($B$8=12,C65,IF($B$8=4,0,IF($B$8=6,0,IF($B$8=3,0,0))))</f>
        <v>0</v>
      </c>
      <c r="K65" s="68">
        <f>IF($B$8=12,D65,IF($B$8=4,0,IF($B$8=6,0,IF($B$8=3,0,0))))</f>
        <v>0</v>
      </c>
      <c r="M65" s="4195"/>
      <c r="N65" s="9" t="s">
        <v>22</v>
      </c>
      <c r="O65" s="43">
        <f t="shared" si="17"/>
        <v>0</v>
      </c>
      <c r="P65" s="43">
        <f t="shared" si="16"/>
        <v>0</v>
      </c>
      <c r="Q65" s="44">
        <f t="shared" si="16"/>
        <v>0</v>
      </c>
      <c r="R65" s="68">
        <f t="shared" si="7"/>
        <v>0</v>
      </c>
      <c r="S65" s="51"/>
    </row>
    <row r="66" spans="1:19" ht="15.75" customHeight="1">
      <c r="A66" s="23">
        <v>55</v>
      </c>
      <c r="B66" s="43">
        <f t="shared" si="8"/>
        <v>0</v>
      </c>
      <c r="C66" s="123">
        <f t="shared" si="3"/>
        <v>0</v>
      </c>
      <c r="D66" s="43">
        <f t="shared" si="9"/>
        <v>0</v>
      </c>
      <c r="E66" s="68">
        <f t="shared" si="6"/>
        <v>0</v>
      </c>
      <c r="F66" s="51"/>
      <c r="G66" s="4198"/>
      <c r="H66" s="22" t="s">
        <v>23</v>
      </c>
      <c r="I66" s="43">
        <f>IF($B$8=12,B66,IF($B$8=4,B30,IF($B$8=6,B39,IF($B$8=3,0,IF($B$8=2,B21,0)))))</f>
        <v>0</v>
      </c>
      <c r="J66" s="43">
        <f>IF($B$8=12,C66,IF($B$8=4,C30,IF($B$8=6,C39,IF($B$8=3,0,IF($B$8=2,C21,0)))))</f>
        <v>0</v>
      </c>
      <c r="K66" s="68">
        <f>IF($B$8=12,D66,IF($B$8=4,D30,IF($B$8=6,D39,IF($B$8=3,0,IF($B$8=2,D21,0)))))</f>
        <v>0</v>
      </c>
      <c r="M66" s="4195"/>
      <c r="N66" s="9" t="s">
        <v>23</v>
      </c>
      <c r="O66" s="43">
        <f t="shared" si="17"/>
        <v>0</v>
      </c>
      <c r="P66" s="43">
        <f t="shared" si="16"/>
        <v>0</v>
      </c>
      <c r="Q66" s="44">
        <f t="shared" si="16"/>
        <v>0</v>
      </c>
      <c r="R66" s="68">
        <f t="shared" si="7"/>
        <v>0</v>
      </c>
      <c r="S66" s="51"/>
    </row>
    <row r="67" spans="1:19" ht="15.75" customHeight="1">
      <c r="A67" s="23">
        <v>56</v>
      </c>
      <c r="B67" s="43">
        <f t="shared" si="8"/>
        <v>0</v>
      </c>
      <c r="C67" s="123">
        <f t="shared" si="3"/>
        <v>0</v>
      </c>
      <c r="D67" s="43">
        <f t="shared" si="9"/>
        <v>0</v>
      </c>
      <c r="E67" s="68">
        <f t="shared" si="6"/>
        <v>0</v>
      </c>
      <c r="F67" s="51"/>
      <c r="G67" s="4198"/>
      <c r="H67" s="22" t="s">
        <v>24</v>
      </c>
      <c r="I67" s="43">
        <f>IF($B$8=12,B67,IF($B$8=4,0,IF($B$8=6,0,IF($B$8=3,0,0))))</f>
        <v>0</v>
      </c>
      <c r="J67" s="43">
        <f>IF($B$8=12,C67,IF($B$8=4,0,IF($B$8=6,0,IF($B$8=3,0,0))))</f>
        <v>0</v>
      </c>
      <c r="K67" s="68">
        <f>IF($B$8=12,D67,IF($B$8=4,0,IF($B$8=6,0,IF($B$8=3,0,0))))</f>
        <v>0</v>
      </c>
      <c r="M67" s="4195"/>
      <c r="N67" s="9" t="s">
        <v>24</v>
      </c>
      <c r="O67" s="43">
        <f t="shared" si="17"/>
        <v>0</v>
      </c>
      <c r="P67" s="43">
        <f t="shared" si="16"/>
        <v>0</v>
      </c>
      <c r="Q67" s="44">
        <f t="shared" si="16"/>
        <v>0</v>
      </c>
      <c r="R67" s="68">
        <f t="shared" si="7"/>
        <v>0</v>
      </c>
      <c r="S67" s="51"/>
    </row>
    <row r="68" spans="1:19" ht="15.75" customHeight="1">
      <c r="A68" s="23">
        <v>57</v>
      </c>
      <c r="B68" s="43">
        <f t="shared" si="8"/>
        <v>0</v>
      </c>
      <c r="C68" s="123">
        <f t="shared" si="3"/>
        <v>0</v>
      </c>
      <c r="D68" s="43">
        <f t="shared" si="9"/>
        <v>0</v>
      </c>
      <c r="E68" s="68">
        <f t="shared" si="6"/>
        <v>0</v>
      </c>
      <c r="F68" s="51"/>
      <c r="G68" s="4198"/>
      <c r="H68" s="22" t="s">
        <v>25</v>
      </c>
      <c r="I68" s="43">
        <f>IF($B$8=12,B68,IF($B$8=4,0,IF($B$8=6,B40,IF($B$8=3,B26,0))))</f>
        <v>0</v>
      </c>
      <c r="J68" s="43">
        <f>IF($B$8=12,C68,IF($B$8=4,0,IF($B$8=6,C40,IF($B$8=3,C26,0))))</f>
        <v>0</v>
      </c>
      <c r="K68" s="68">
        <f>IF($B$8=12,D68,IF($B$8=4,0,IF($B$8=6,D40,IF($B$8=3,D26,0))))</f>
        <v>0</v>
      </c>
      <c r="M68" s="4195"/>
      <c r="N68" s="9" t="s">
        <v>25</v>
      </c>
      <c r="O68" s="43">
        <f t="shared" si="17"/>
        <v>0</v>
      </c>
      <c r="P68" s="43">
        <f t="shared" si="16"/>
        <v>0</v>
      </c>
      <c r="Q68" s="44">
        <f t="shared" si="16"/>
        <v>0</v>
      </c>
      <c r="R68" s="68">
        <f t="shared" si="7"/>
        <v>0</v>
      </c>
      <c r="S68" s="51"/>
    </row>
    <row r="69" spans="1:19" ht="15.75" customHeight="1">
      <c r="A69" s="23">
        <v>58</v>
      </c>
      <c r="B69" s="43">
        <f t="shared" si="8"/>
        <v>0</v>
      </c>
      <c r="C69" s="123">
        <f t="shared" si="3"/>
        <v>0</v>
      </c>
      <c r="D69" s="43">
        <f t="shared" si="9"/>
        <v>0</v>
      </c>
      <c r="E69" s="68">
        <f t="shared" si="6"/>
        <v>0</v>
      </c>
      <c r="F69" s="51"/>
      <c r="G69" s="4198"/>
      <c r="H69" s="22" t="s">
        <v>26</v>
      </c>
      <c r="I69" s="43">
        <f>IF($B$8=12,B69,IF($B$8=4,B31,IF($B$8=6,0,IF($B$8=3,0,0))))</f>
        <v>0</v>
      </c>
      <c r="J69" s="43">
        <f>IF($B$8=12,C69,IF($B$8=4,C31,IF($B$8=6,0,IF($B$8=3,0,0))))</f>
        <v>0</v>
      </c>
      <c r="K69" s="68">
        <f>IF($B$8=12,D69,IF($B$8=4,D31,IF($B$8=6,0,IF($B$8=3,0,0))))</f>
        <v>0</v>
      </c>
      <c r="M69" s="4195"/>
      <c r="N69" s="9" t="s">
        <v>26</v>
      </c>
      <c r="O69" s="43">
        <f t="shared" si="17"/>
        <v>0</v>
      </c>
      <c r="P69" s="43">
        <f t="shared" si="16"/>
        <v>0</v>
      </c>
      <c r="Q69" s="44">
        <f t="shared" si="16"/>
        <v>0</v>
      </c>
      <c r="R69" s="68">
        <f t="shared" si="7"/>
        <v>0</v>
      </c>
      <c r="S69" s="51"/>
    </row>
    <row r="70" spans="1:19" ht="15.75" customHeight="1">
      <c r="A70" s="23">
        <v>59</v>
      </c>
      <c r="B70" s="43">
        <f t="shared" si="8"/>
        <v>0</v>
      </c>
      <c r="C70" s="123">
        <f t="shared" si="3"/>
        <v>0</v>
      </c>
      <c r="D70" s="43">
        <f t="shared" si="9"/>
        <v>0</v>
      </c>
      <c r="E70" s="68">
        <f t="shared" si="6"/>
        <v>0</v>
      </c>
      <c r="F70" s="51"/>
      <c r="G70" s="4198"/>
      <c r="H70" s="22" t="s">
        <v>27</v>
      </c>
      <c r="I70" s="43">
        <f>IF($B$8=12,B70,IF($B$8=4,0,IF($B$8=6,B41,IF($B$8=3,0,0))))</f>
        <v>0</v>
      </c>
      <c r="J70" s="43">
        <f>IF($B$8=12,C70,IF($B$8=4,0,IF($B$8=6,C41,IF($B$8=3,0,0))))</f>
        <v>0</v>
      </c>
      <c r="K70" s="68">
        <f>IF($B$8=12,D70,IF($B$8=4,0,IF($B$8=6,D41,IF($B$8=3,0,0))))</f>
        <v>0</v>
      </c>
      <c r="M70" s="4195"/>
      <c r="N70" s="9" t="s">
        <v>27</v>
      </c>
      <c r="O70" s="43">
        <f t="shared" si="17"/>
        <v>0</v>
      </c>
      <c r="P70" s="43">
        <f t="shared" si="16"/>
        <v>0</v>
      </c>
      <c r="Q70" s="44">
        <f t="shared" si="16"/>
        <v>0</v>
      </c>
      <c r="R70" s="68">
        <f t="shared" si="7"/>
        <v>0</v>
      </c>
      <c r="S70" s="51"/>
    </row>
    <row r="71" spans="1:19" ht="15.75" customHeight="1" thickBot="1">
      <c r="A71" s="26">
        <v>60</v>
      </c>
      <c r="B71" s="48">
        <f t="shared" si="8"/>
        <v>0</v>
      </c>
      <c r="C71" s="138">
        <f t="shared" si="3"/>
        <v>0</v>
      </c>
      <c r="D71" s="48">
        <f t="shared" si="9"/>
        <v>0</v>
      </c>
      <c r="E71" s="49">
        <f t="shared" si="6"/>
        <v>0</v>
      </c>
      <c r="F71" s="243">
        <f>SUM(D60:D71)</f>
        <v>0</v>
      </c>
      <c r="G71" s="4199"/>
      <c r="H71" s="38" t="s">
        <v>28</v>
      </c>
      <c r="I71" s="48">
        <f>IF($B$8=12,B71,IF($B$8=4,0,IF($B$8=6,0,IF($B$8=3,0,0))))</f>
        <v>0</v>
      </c>
      <c r="J71" s="48">
        <f>IF($B$8=12,C71,IF($B$8=4,0,IF($B$8=6,0,IF($B$8=3,0,0))))</f>
        <v>0</v>
      </c>
      <c r="K71" s="79">
        <f>IF($B$8=12,D71,IF($B$8=4,0,IF($B$8=6,0,IF($B$8=3,0,0))))</f>
        <v>0</v>
      </c>
      <c r="M71" s="4196"/>
      <c r="N71" s="36" t="s">
        <v>28</v>
      </c>
      <c r="O71" s="48">
        <f t="shared" si="17"/>
        <v>0</v>
      </c>
      <c r="P71" s="48">
        <f t="shared" si="16"/>
        <v>0</v>
      </c>
      <c r="Q71" s="49">
        <f t="shared" si="16"/>
        <v>0</v>
      </c>
      <c r="R71" s="49">
        <f t="shared" si="7"/>
        <v>0</v>
      </c>
      <c r="S71" s="1100">
        <f>SUM(Q60:Q71)</f>
        <v>0</v>
      </c>
    </row>
    <row r="72" spans="1:19" ht="16.5" thickTop="1">
      <c r="A72" s="23">
        <v>61</v>
      </c>
      <c r="B72" s="43">
        <f t="shared" ref="B72:B83" si="18">IF(A72&gt;$I$9,IF(E71&gt;1,PMT($B$6/$B$8,$B$7*$B$8,-$B$5),0),0)</f>
        <v>0</v>
      </c>
      <c r="C72" s="123">
        <f t="shared" ref="C72:C83" si="19">IF(B72&gt;0,B72-D72,E72*($B$6/$B$8))</f>
        <v>0</v>
      </c>
      <c r="D72" s="43">
        <f t="shared" ref="D72:D83" si="20">IF(A72&gt;$I$9,B72-(E71*($B$6/$B$8)),0)</f>
        <v>0</v>
      </c>
      <c r="E72" s="44">
        <f t="shared" ref="E72:E83" si="21">IF((E71-D72)&gt;0,E71-D72,0)</f>
        <v>0</v>
      </c>
      <c r="F72" s="51"/>
      <c r="H72" s="22" t="s">
        <v>17</v>
      </c>
      <c r="I72" s="43">
        <f t="shared" ref="I72:I83" si="22">IF($B$8=12,B72,IF($B$8=4,0,IF($B$8=6,0,IF($B$8=3,0,0))))</f>
        <v>0</v>
      </c>
      <c r="J72" s="43">
        <f t="shared" ref="J72:J83" si="23">IF($B$8=12,C72,IF($B$8=4,0,IF($B$8=6,0,IF($B$8=3,0,0))))</f>
        <v>0</v>
      </c>
      <c r="K72" s="68">
        <f t="shared" ref="K72:K83" si="24">IF($B$8=12,D72,IF($B$8=4,0,IF($B$8=6,0,IF($B$8=3,0,0))))</f>
        <v>0</v>
      </c>
      <c r="N72" s="9" t="s">
        <v>17</v>
      </c>
      <c r="O72" s="43">
        <f t="shared" ref="O72:O83" si="25">IF($I$6=5,I24,IF($I$6=4,I36,IF($I$6=3,I48,IF($I$6=2,I60,IF($I$6=1,I72,0)))))</f>
        <v>0</v>
      </c>
      <c r="P72" s="43">
        <f t="shared" ref="P72:P83" si="26">IF($I$6=5,J24,IF($I$6=4,J36,IF($I$6=3,J48,IF($I$6=2,J60,IF($I$6=1,J72,0)))))</f>
        <v>0</v>
      </c>
      <c r="Q72" s="44">
        <f t="shared" ref="Q72:Q83" si="27">IF($I$6=5,K24,IF($I$6=4,K36,IF($I$6=3,K48,IF($I$6=2,K60,IF($I$6=1,K72,0)))))</f>
        <v>0</v>
      </c>
      <c r="R72" s="44">
        <f t="shared" si="7"/>
        <v>0</v>
      </c>
      <c r="S72" s="51"/>
    </row>
    <row r="73" spans="1:19">
      <c r="A73" s="23">
        <v>62</v>
      </c>
      <c r="B73" s="43">
        <f t="shared" si="18"/>
        <v>0</v>
      </c>
      <c r="C73" s="123">
        <f t="shared" si="19"/>
        <v>0</v>
      </c>
      <c r="D73" s="43">
        <f t="shared" si="20"/>
        <v>0</v>
      </c>
      <c r="E73" s="44">
        <f t="shared" si="21"/>
        <v>0</v>
      </c>
      <c r="F73"/>
      <c r="H73" s="22" t="s">
        <v>18</v>
      </c>
      <c r="I73" s="43">
        <f t="shared" si="22"/>
        <v>0</v>
      </c>
      <c r="J73" s="43">
        <f t="shared" si="23"/>
        <v>0</v>
      </c>
      <c r="K73" s="68">
        <f t="shared" si="24"/>
        <v>0</v>
      </c>
      <c r="N73" s="9" t="s">
        <v>18</v>
      </c>
      <c r="O73" s="43">
        <f t="shared" si="25"/>
        <v>0</v>
      </c>
      <c r="P73" s="43">
        <f t="shared" si="26"/>
        <v>0</v>
      </c>
      <c r="Q73" s="44">
        <f t="shared" si="27"/>
        <v>0</v>
      </c>
      <c r="R73" s="44">
        <f t="shared" si="7"/>
        <v>0</v>
      </c>
      <c r="S73"/>
    </row>
    <row r="74" spans="1:19">
      <c r="A74" s="23">
        <v>63</v>
      </c>
      <c r="B74" s="43">
        <f t="shared" si="18"/>
        <v>0</v>
      </c>
      <c r="C74" s="123">
        <f t="shared" si="19"/>
        <v>0</v>
      </c>
      <c r="D74" s="43">
        <f t="shared" si="20"/>
        <v>0</v>
      </c>
      <c r="E74" s="44">
        <f t="shared" si="21"/>
        <v>0</v>
      </c>
      <c r="F74"/>
      <c r="H74" s="22" t="s">
        <v>19</v>
      </c>
      <c r="I74" s="43">
        <f t="shared" si="22"/>
        <v>0</v>
      </c>
      <c r="J74" s="43">
        <f t="shared" si="23"/>
        <v>0</v>
      </c>
      <c r="K74" s="68">
        <f t="shared" si="24"/>
        <v>0</v>
      </c>
      <c r="N74" s="9" t="s">
        <v>19</v>
      </c>
      <c r="O74" s="43">
        <f t="shared" si="25"/>
        <v>0</v>
      </c>
      <c r="P74" s="43">
        <f t="shared" si="26"/>
        <v>0</v>
      </c>
      <c r="Q74" s="44">
        <f t="shared" si="27"/>
        <v>0</v>
      </c>
      <c r="R74" s="44">
        <f t="shared" si="7"/>
        <v>0</v>
      </c>
      <c r="S74"/>
    </row>
    <row r="75" spans="1:19">
      <c r="A75" s="23">
        <v>64</v>
      </c>
      <c r="B75" s="43">
        <f t="shared" si="18"/>
        <v>0</v>
      </c>
      <c r="C75" s="123">
        <f t="shared" si="19"/>
        <v>0</v>
      </c>
      <c r="D75" s="43">
        <f t="shared" si="20"/>
        <v>0</v>
      </c>
      <c r="E75" s="44">
        <f t="shared" si="21"/>
        <v>0</v>
      </c>
      <c r="F75"/>
      <c r="H75" s="22" t="s">
        <v>20</v>
      </c>
      <c r="I75" s="43">
        <f t="shared" si="22"/>
        <v>0</v>
      </c>
      <c r="J75" s="43">
        <f t="shared" si="23"/>
        <v>0</v>
      </c>
      <c r="K75" s="68">
        <f t="shared" si="24"/>
        <v>0</v>
      </c>
      <c r="N75" s="9" t="s">
        <v>20</v>
      </c>
      <c r="O75" s="43">
        <f t="shared" si="25"/>
        <v>0</v>
      </c>
      <c r="P75" s="43">
        <f t="shared" si="26"/>
        <v>0</v>
      </c>
      <c r="Q75" s="44">
        <f t="shared" si="27"/>
        <v>0</v>
      </c>
      <c r="R75" s="44">
        <f t="shared" si="7"/>
        <v>0</v>
      </c>
      <c r="S75"/>
    </row>
    <row r="76" spans="1:19">
      <c r="A76" s="23">
        <v>65</v>
      </c>
      <c r="B76" s="43">
        <f t="shared" si="18"/>
        <v>0</v>
      </c>
      <c r="C76" s="123">
        <f t="shared" si="19"/>
        <v>0</v>
      </c>
      <c r="D76" s="43">
        <f t="shared" si="20"/>
        <v>0</v>
      </c>
      <c r="E76" s="44">
        <f t="shared" si="21"/>
        <v>0</v>
      </c>
      <c r="F76"/>
      <c r="H76" s="22" t="s">
        <v>21</v>
      </c>
      <c r="I76" s="43">
        <f t="shared" si="22"/>
        <v>0</v>
      </c>
      <c r="J76" s="43">
        <f t="shared" si="23"/>
        <v>0</v>
      </c>
      <c r="K76" s="68">
        <f t="shared" si="24"/>
        <v>0</v>
      </c>
      <c r="N76" s="9" t="s">
        <v>21</v>
      </c>
      <c r="O76" s="43">
        <f t="shared" si="25"/>
        <v>0</v>
      </c>
      <c r="P76" s="43">
        <f t="shared" si="26"/>
        <v>0</v>
      </c>
      <c r="Q76" s="44">
        <f t="shared" si="27"/>
        <v>0</v>
      </c>
      <c r="R76" s="44">
        <f t="shared" si="7"/>
        <v>0</v>
      </c>
      <c r="S76"/>
    </row>
    <row r="77" spans="1:19">
      <c r="A77" s="23">
        <v>66</v>
      </c>
      <c r="B77" s="43">
        <f t="shared" si="18"/>
        <v>0</v>
      </c>
      <c r="C77" s="123">
        <f t="shared" si="19"/>
        <v>0</v>
      </c>
      <c r="D77" s="43">
        <f t="shared" si="20"/>
        <v>0</v>
      </c>
      <c r="E77" s="44">
        <f t="shared" si="21"/>
        <v>0</v>
      </c>
      <c r="F77"/>
      <c r="H77" s="22" t="s">
        <v>22</v>
      </c>
      <c r="I77" s="43">
        <f t="shared" si="22"/>
        <v>0</v>
      </c>
      <c r="J77" s="43">
        <f t="shared" si="23"/>
        <v>0</v>
      </c>
      <c r="K77" s="68">
        <f t="shared" si="24"/>
        <v>0</v>
      </c>
      <c r="N77" s="9" t="s">
        <v>22</v>
      </c>
      <c r="O77" s="43">
        <f t="shared" si="25"/>
        <v>0</v>
      </c>
      <c r="P77" s="43">
        <f t="shared" si="26"/>
        <v>0</v>
      </c>
      <c r="Q77" s="44">
        <f t="shared" si="27"/>
        <v>0</v>
      </c>
      <c r="R77" s="44">
        <f t="shared" si="7"/>
        <v>0</v>
      </c>
      <c r="S77"/>
    </row>
    <row r="78" spans="1:19">
      <c r="A78" s="23">
        <v>67</v>
      </c>
      <c r="B78" s="43">
        <f t="shared" si="18"/>
        <v>0</v>
      </c>
      <c r="C78" s="123">
        <f t="shared" si="19"/>
        <v>0</v>
      </c>
      <c r="D78" s="43">
        <f t="shared" si="20"/>
        <v>0</v>
      </c>
      <c r="E78" s="44">
        <f t="shared" si="21"/>
        <v>0</v>
      </c>
      <c r="F78"/>
      <c r="H78" s="22" t="s">
        <v>23</v>
      </c>
      <c r="I78" s="43">
        <f t="shared" si="22"/>
        <v>0</v>
      </c>
      <c r="J78" s="43">
        <f t="shared" si="23"/>
        <v>0</v>
      </c>
      <c r="K78" s="68">
        <f t="shared" si="24"/>
        <v>0</v>
      </c>
      <c r="N78" s="9" t="s">
        <v>23</v>
      </c>
      <c r="O78" s="43">
        <f t="shared" si="25"/>
        <v>0</v>
      </c>
      <c r="P78" s="43">
        <f t="shared" si="26"/>
        <v>0</v>
      </c>
      <c r="Q78" s="44">
        <f t="shared" si="27"/>
        <v>0</v>
      </c>
      <c r="R78" s="44">
        <f t="shared" ref="R78:R83" si="28">IF((R77-Q78)&gt;0,R77-Q78,0)</f>
        <v>0</v>
      </c>
      <c r="S78"/>
    </row>
    <row r="79" spans="1:19">
      <c r="A79" s="23">
        <v>68</v>
      </c>
      <c r="B79" s="43">
        <f t="shared" si="18"/>
        <v>0</v>
      </c>
      <c r="C79" s="123">
        <f t="shared" si="19"/>
        <v>0</v>
      </c>
      <c r="D79" s="43">
        <f t="shared" si="20"/>
        <v>0</v>
      </c>
      <c r="E79" s="44">
        <f t="shared" si="21"/>
        <v>0</v>
      </c>
      <c r="F79"/>
      <c r="H79" s="22" t="s">
        <v>24</v>
      </c>
      <c r="I79" s="43">
        <f t="shared" si="22"/>
        <v>0</v>
      </c>
      <c r="J79" s="43">
        <f t="shared" si="23"/>
        <v>0</v>
      </c>
      <c r="K79" s="68">
        <f t="shared" si="24"/>
        <v>0</v>
      </c>
      <c r="N79" s="9" t="s">
        <v>24</v>
      </c>
      <c r="O79" s="43">
        <f t="shared" si="25"/>
        <v>0</v>
      </c>
      <c r="P79" s="43">
        <f t="shared" si="26"/>
        <v>0</v>
      </c>
      <c r="Q79" s="44">
        <f t="shared" si="27"/>
        <v>0</v>
      </c>
      <c r="R79" s="44">
        <f t="shared" si="28"/>
        <v>0</v>
      </c>
      <c r="S79"/>
    </row>
    <row r="80" spans="1:19">
      <c r="A80" s="23">
        <v>69</v>
      </c>
      <c r="B80" s="43">
        <f t="shared" si="18"/>
        <v>0</v>
      </c>
      <c r="C80" s="123">
        <f t="shared" si="19"/>
        <v>0</v>
      </c>
      <c r="D80" s="43">
        <f t="shared" si="20"/>
        <v>0</v>
      </c>
      <c r="E80" s="44">
        <f t="shared" si="21"/>
        <v>0</v>
      </c>
      <c r="F80"/>
      <c r="H80" s="22" t="s">
        <v>25</v>
      </c>
      <c r="I80" s="43">
        <f t="shared" si="22"/>
        <v>0</v>
      </c>
      <c r="J80" s="43">
        <f t="shared" si="23"/>
        <v>0</v>
      </c>
      <c r="K80" s="68">
        <f t="shared" si="24"/>
        <v>0</v>
      </c>
      <c r="N80" s="9" t="s">
        <v>25</v>
      </c>
      <c r="O80" s="43">
        <f t="shared" si="25"/>
        <v>0</v>
      </c>
      <c r="P80" s="43">
        <f t="shared" si="26"/>
        <v>0</v>
      </c>
      <c r="Q80" s="44">
        <f t="shared" si="27"/>
        <v>0</v>
      </c>
      <c r="R80" s="44">
        <f t="shared" si="28"/>
        <v>0</v>
      </c>
      <c r="S80"/>
    </row>
    <row r="81" spans="1:19">
      <c r="A81" s="23">
        <v>70</v>
      </c>
      <c r="B81" s="43">
        <f t="shared" si="18"/>
        <v>0</v>
      </c>
      <c r="C81" s="123">
        <f t="shared" si="19"/>
        <v>0</v>
      </c>
      <c r="D81" s="43">
        <f t="shared" si="20"/>
        <v>0</v>
      </c>
      <c r="E81" s="44">
        <f t="shared" si="21"/>
        <v>0</v>
      </c>
      <c r="F81"/>
      <c r="H81" s="22" t="s">
        <v>26</v>
      </c>
      <c r="I81" s="43">
        <f t="shared" si="22"/>
        <v>0</v>
      </c>
      <c r="J81" s="43">
        <f t="shared" si="23"/>
        <v>0</v>
      </c>
      <c r="K81" s="68">
        <f t="shared" si="24"/>
        <v>0</v>
      </c>
      <c r="N81" s="9" t="s">
        <v>26</v>
      </c>
      <c r="O81" s="43">
        <f t="shared" si="25"/>
        <v>0</v>
      </c>
      <c r="P81" s="43">
        <f t="shared" si="26"/>
        <v>0</v>
      </c>
      <c r="Q81" s="44">
        <f t="shared" si="27"/>
        <v>0</v>
      </c>
      <c r="R81" s="44">
        <f t="shared" si="28"/>
        <v>0</v>
      </c>
      <c r="S81"/>
    </row>
    <row r="82" spans="1:19">
      <c r="A82" s="23">
        <v>71</v>
      </c>
      <c r="B82" s="43">
        <f t="shared" si="18"/>
        <v>0</v>
      </c>
      <c r="C82" s="123">
        <f t="shared" si="19"/>
        <v>0</v>
      </c>
      <c r="D82" s="43">
        <f t="shared" si="20"/>
        <v>0</v>
      </c>
      <c r="E82" s="44">
        <f t="shared" si="21"/>
        <v>0</v>
      </c>
      <c r="F82"/>
      <c r="H82" s="22" t="s">
        <v>27</v>
      </c>
      <c r="I82" s="43">
        <f t="shared" si="22"/>
        <v>0</v>
      </c>
      <c r="J82" s="43">
        <f t="shared" si="23"/>
        <v>0</v>
      </c>
      <c r="K82" s="68">
        <f t="shared" si="24"/>
        <v>0</v>
      </c>
      <c r="N82" s="9" t="s">
        <v>27</v>
      </c>
      <c r="O82" s="43">
        <f t="shared" si="25"/>
        <v>0</v>
      </c>
      <c r="P82" s="43">
        <f t="shared" si="26"/>
        <v>0</v>
      </c>
      <c r="Q82" s="44">
        <f t="shared" si="27"/>
        <v>0</v>
      </c>
      <c r="R82" s="44">
        <f t="shared" si="28"/>
        <v>0</v>
      </c>
      <c r="S82"/>
    </row>
    <row r="83" spans="1:19" ht="16.5" thickBot="1">
      <c r="A83" s="26">
        <v>72</v>
      </c>
      <c r="B83" s="48">
        <f t="shared" si="18"/>
        <v>0</v>
      </c>
      <c r="C83" s="138">
        <f t="shared" si="19"/>
        <v>0</v>
      </c>
      <c r="D83" s="48">
        <f t="shared" si="20"/>
        <v>0</v>
      </c>
      <c r="E83" s="49">
        <f t="shared" si="21"/>
        <v>0</v>
      </c>
      <c r="F83" s="243">
        <f>SUM(D72:D83)</f>
        <v>0</v>
      </c>
      <c r="H83" s="38" t="s">
        <v>28</v>
      </c>
      <c r="I83" s="48">
        <f t="shared" si="22"/>
        <v>0</v>
      </c>
      <c r="J83" s="48">
        <f t="shared" si="23"/>
        <v>0</v>
      </c>
      <c r="K83" s="79">
        <f t="shared" si="24"/>
        <v>0</v>
      </c>
      <c r="N83" s="36" t="s">
        <v>28</v>
      </c>
      <c r="O83" s="48">
        <f t="shared" si="25"/>
        <v>0</v>
      </c>
      <c r="P83" s="48">
        <f t="shared" si="26"/>
        <v>0</v>
      </c>
      <c r="Q83" s="49">
        <f t="shared" si="27"/>
        <v>0</v>
      </c>
      <c r="R83" s="49">
        <f t="shared" si="28"/>
        <v>0</v>
      </c>
      <c r="S83" s="1100">
        <f>SUM(Q72:Q83)</f>
        <v>0</v>
      </c>
    </row>
    <row r="84" spans="1:19" ht="16.5" thickTop="1"/>
  </sheetData>
  <sheetProtection formatColumns="0" formatRows="0"/>
  <mergeCells count="10">
    <mergeCell ref="M60:M71"/>
    <mergeCell ref="M12:M23"/>
    <mergeCell ref="M24:M35"/>
    <mergeCell ref="M36:M47"/>
    <mergeCell ref="M48:M59"/>
    <mergeCell ref="G12:G23"/>
    <mergeCell ref="G60:G71"/>
    <mergeCell ref="G24:G35"/>
    <mergeCell ref="G36:G47"/>
    <mergeCell ref="G48:G59"/>
  </mergeCells>
  <phoneticPr fontId="9" type="noConversion"/>
  <dataValidations xWindow="178" yWindow="332" count="3">
    <dataValidation allowBlank="1" showInputMessage="1" showErrorMessage="1" error="Solo valores enteros comprendidos entre 1 y 5" sqref="I6"/>
    <dataValidation type="whole" allowBlank="1" showInputMessage="1" showErrorMessage="1" prompt="12 - Pago mensual_x000a_  6 - Pago bimestral_x000a_  4 - Pago trimestral_x000a_  3 - Pago cuatrimestral_x000a_  2 - Pago semestral_x000a_  1 - Pago anual" sqref="B8">
      <formula1>1</formula1>
      <formula2>12</formula2>
    </dataValidation>
    <dataValidation type="decimal" allowBlank="1" showErrorMessage="1" sqref="B9">
      <formula1>0</formula1>
      <formula2>12</formula2>
    </dataValidation>
  </dataValidations>
  <printOptions horizontalCentered="1"/>
  <pageMargins left="0.78740157480314965" right="0.75" top="0.47244094488188981" bottom="0.15748031496062992" header="0" footer="0"/>
  <pageSetup paperSize="9" scale="44"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U84"/>
  <sheetViews>
    <sheetView topLeftCell="F1" zoomScale="75" zoomScaleNormal="65" zoomScaleSheetLayoutView="50" workbookViewId="0">
      <selection activeCell="T16" sqref="T16"/>
    </sheetView>
  </sheetViews>
  <sheetFormatPr baseColWidth="10" defaultColWidth="11.1640625" defaultRowHeight="15.75"/>
  <cols>
    <col min="1" max="1" width="24" style="9" customWidth="1"/>
    <col min="2" max="3" width="18.33203125" style="9" customWidth="1"/>
    <col min="4" max="4" width="20.1640625" style="9" bestFit="1" customWidth="1"/>
    <col min="5" max="5" width="21.83203125" style="9" customWidth="1"/>
    <col min="6" max="6" width="11.6640625" style="9" customWidth="1"/>
    <col min="7" max="7" width="3.83203125" style="9" customWidth="1"/>
    <col min="8" max="8" width="26.1640625" style="9" customWidth="1"/>
    <col min="9" max="9" width="18" style="9" customWidth="1"/>
    <col min="10" max="10" width="18.33203125" style="9" customWidth="1"/>
    <col min="11" max="11" width="20.83203125" style="9" customWidth="1"/>
    <col min="12" max="12" width="7" style="9" customWidth="1"/>
    <col min="13" max="13" width="3.83203125" style="9" customWidth="1"/>
    <col min="14" max="14" width="19.33203125" style="9" customWidth="1"/>
    <col min="15" max="16" width="18.33203125" style="9" customWidth="1"/>
    <col min="17" max="17" width="20.83203125" style="9" customWidth="1"/>
    <col min="18" max="18" width="21" style="9" customWidth="1"/>
    <col min="19" max="19" width="15" style="9" customWidth="1"/>
    <col min="20" max="20" width="15.6640625" style="9" customWidth="1"/>
    <col min="21" max="21" width="14" style="9" customWidth="1"/>
    <col min="22" max="16384" width="11.1640625" style="9"/>
  </cols>
  <sheetData>
    <row r="1" spans="1:21" ht="39.950000000000003" customHeight="1" thickBot="1">
      <c r="A1" s="8" t="s">
        <v>123</v>
      </c>
      <c r="D1" s="96"/>
      <c r="E1" s="96"/>
      <c r="F1" s="96"/>
    </row>
    <row r="2" spans="1:21" ht="39.950000000000003" customHeight="1" thickTop="1" thickBot="1">
      <c r="A2" s="39"/>
      <c r="N2" s="17" t="s">
        <v>68</v>
      </c>
      <c r="O2" s="31" t="s">
        <v>14</v>
      </c>
      <c r="P2" s="31" t="s">
        <v>66</v>
      </c>
      <c r="Q2" s="33" t="s">
        <v>67</v>
      </c>
      <c r="R2" s="32" t="s">
        <v>15</v>
      </c>
      <c r="S2" s="242" t="s">
        <v>419</v>
      </c>
      <c r="T2" s="242" t="s">
        <v>420</v>
      </c>
      <c r="U2"/>
    </row>
    <row r="3" spans="1:21" ht="20.100000000000001" customHeight="1" thickTop="1">
      <c r="A3" s="8" t="str">
        <f>"Cuadro de Amortización del Crédito -  Año "&amp;'(0) 3b. Préstam Financ.'!L15</f>
        <v>Cuadro de Amortización del Crédito -  Año 2º ejerc.1</v>
      </c>
      <c r="G3" s="39"/>
      <c r="N3" s="27">
        <f>Año_comienzo_Plan</f>
        <v>0</v>
      </c>
      <c r="O3" s="41">
        <f>SUM(O12:O23)</f>
        <v>0</v>
      </c>
      <c r="P3" s="41">
        <f>SUM(P12:P23)</f>
        <v>0</v>
      </c>
      <c r="Q3" s="41">
        <f>SUM(Q12:Q23)</f>
        <v>0</v>
      </c>
      <c r="R3" s="44">
        <f>IF($I$6=1,$B$5-Q3,0)</f>
        <v>0</v>
      </c>
      <c r="S3" s="1101">
        <f>IF($R$23=0,0,$R$23-$S$35)*0</f>
        <v>0</v>
      </c>
      <c r="T3" s="1101">
        <f>$S$35*0</f>
        <v>0</v>
      </c>
      <c r="U3" s="246">
        <f t="shared" ref="U3:U8" si="0">SUM(S3:T3)</f>
        <v>0</v>
      </c>
    </row>
    <row r="4" spans="1:21" ht="20.100000000000001" customHeight="1" thickBot="1">
      <c r="N4" s="28">
        <f>N3+1</f>
        <v>1</v>
      </c>
      <c r="O4" s="43">
        <f>SUM(O24:O35)</f>
        <v>0</v>
      </c>
      <c r="P4" s="43">
        <f>SUM(P24:P35)</f>
        <v>0</v>
      </c>
      <c r="Q4" s="43">
        <f>SUM(Q24:Q35)</f>
        <v>0</v>
      </c>
      <c r="R4" s="44">
        <f>IF($I$6=1,$B$5-(Q3+Q4),IF($I$6=2,$B$5-Q4,0))</f>
        <v>0</v>
      </c>
      <c r="S4" s="1101">
        <f>IF($R$35=0,0,$R$35-$S$47)</f>
        <v>0</v>
      </c>
      <c r="T4" s="1101">
        <f>$S$47</f>
        <v>0</v>
      </c>
      <c r="U4" s="246">
        <f t="shared" si="0"/>
        <v>0</v>
      </c>
    </row>
    <row r="5" spans="1:21" ht="20.100000000000001" customHeight="1" thickTop="1" thickBot="1">
      <c r="A5" s="10" t="s">
        <v>54</v>
      </c>
      <c r="B5" s="124">
        <f>'(0) 3b. Préstam Financ.'!L17</f>
        <v>0</v>
      </c>
      <c r="C5" s="96"/>
      <c r="N5" s="28">
        <f>N3+2</f>
        <v>2</v>
      </c>
      <c r="O5" s="43">
        <f>SUM(O36:O47)</f>
        <v>0</v>
      </c>
      <c r="P5" s="43">
        <f>SUM(P36:P47)</f>
        <v>0</v>
      </c>
      <c r="Q5" s="43">
        <f>SUM(Q36:Q47)</f>
        <v>0</v>
      </c>
      <c r="R5" s="44">
        <f>IF($I$6=1,$B$5-(Q3+Q4+Q5),IF($I$6=2,$B$5-(Q4+Q5),IF($I$6=3,$B$5-(Q5),0)))</f>
        <v>0</v>
      </c>
      <c r="S5" s="1101">
        <f>IF($R$47=0,0,$R$47-$S$59)</f>
        <v>0</v>
      </c>
      <c r="T5" s="1101">
        <f>$S$59</f>
        <v>0</v>
      </c>
      <c r="U5" s="246">
        <f t="shared" si="0"/>
        <v>0</v>
      </c>
    </row>
    <row r="6" spans="1:21" ht="20.100000000000001" customHeight="1" thickBot="1">
      <c r="A6" s="11" t="s">
        <v>9</v>
      </c>
      <c r="B6" s="125">
        <f>'(0) 3b. Préstam Financ.'!L18</f>
        <v>0.05</v>
      </c>
      <c r="C6" s="96"/>
      <c r="D6" s="106"/>
      <c r="E6" s="12" t="s">
        <v>70</v>
      </c>
      <c r="F6" s="13"/>
      <c r="G6" s="14"/>
      <c r="H6" s="14"/>
      <c r="I6" s="129" t="str">
        <f>IF('(0) 3b. Préstam Financ.'!L17&gt;0,2,"")</f>
        <v/>
      </c>
      <c r="J6" s="15" t="s">
        <v>75</v>
      </c>
      <c r="N6" s="28">
        <f>N3+3</f>
        <v>3</v>
      </c>
      <c r="O6" s="43">
        <f>SUM(O48:O59)</f>
        <v>0</v>
      </c>
      <c r="P6" s="43">
        <f>IF(SUM(P48:P59)&lt;&gt;0,SUM(P48:P59),0)</f>
        <v>0</v>
      </c>
      <c r="Q6" s="43">
        <f>SUM(Q48:Q59)</f>
        <v>0</v>
      </c>
      <c r="R6" s="44">
        <f>IF($I$6=1,$B$5-(Q3+Q4+Q5+Q6),IF($I$6=2,$B$5-(Q4+Q5+Q6),IF($I$6=3,$B$5-(Q5+Q6),IF($I$6=4,$B$5-Q6,0))))</f>
        <v>0</v>
      </c>
      <c r="S6" s="1101">
        <f>IF($R$59=0,0,$R$59-$S$71)</f>
        <v>0</v>
      </c>
      <c r="T6" s="1101">
        <f>$S$71</f>
        <v>0</v>
      </c>
      <c r="U6" s="246">
        <f t="shared" si="0"/>
        <v>0</v>
      </c>
    </row>
    <row r="7" spans="1:21" ht="20.100000000000001" customHeight="1" thickBot="1">
      <c r="A7" s="11" t="s">
        <v>10</v>
      </c>
      <c r="B7" s="130">
        <f>'(0) 3b. Préstam Financ.'!L19</f>
        <v>4</v>
      </c>
      <c r="C7" s="96"/>
      <c r="N7" s="29">
        <f>N3+4</f>
        <v>4</v>
      </c>
      <c r="O7" s="48">
        <f>SUM(O60:O71)</f>
        <v>0</v>
      </c>
      <c r="P7" s="48">
        <f>SUM(P60:P71)</f>
        <v>0</v>
      </c>
      <c r="Q7" s="48">
        <f>SUM(Q60:Q71)</f>
        <v>0</v>
      </c>
      <c r="R7" s="49">
        <f>IF($I$6=1,$B$5-(Q3+Q4+Q5+Q6+Q7),IF($I$6=2,$B$5-(Q4+Q5+Q6+Q7),IF($I$6=3,$B$5-(Q5+Q6+Q7),IF($I$6=4,$B$5-(Q6+Q7),IF($I$6=5,$B$5-Q7,0)))))</f>
        <v>0</v>
      </c>
      <c r="S7" s="1101">
        <f>IF($R$71=0,0,$R$71-$S$83)</f>
        <v>0</v>
      </c>
      <c r="T7" s="1101">
        <f>$S$83</f>
        <v>0</v>
      </c>
      <c r="U7" s="246">
        <f t="shared" si="0"/>
        <v>0</v>
      </c>
    </row>
    <row r="8" spans="1:21" ht="20.100000000000001" customHeight="1" thickTop="1" thickBot="1">
      <c r="A8" s="11" t="s">
        <v>12</v>
      </c>
      <c r="B8" s="130">
        <f>'(0) 3b. Préstam Financ.'!L20</f>
        <v>12</v>
      </c>
      <c r="C8" s="96"/>
      <c r="N8" s="29">
        <f>N4+4</f>
        <v>5</v>
      </c>
      <c r="O8" s="48">
        <f>SUM(O72:O83)</f>
        <v>0</v>
      </c>
      <c r="P8" s="48">
        <f>SUM(P72:P83)</f>
        <v>0</v>
      </c>
      <c r="Q8" s="48">
        <f>SUM(Q72:Q83)</f>
        <v>0</v>
      </c>
      <c r="R8" s="49">
        <f>IF($I$6=1,$B$5-(Q3+Q4+Q5+Q6+Q7+Q8),IF($I$6=2,$B$5-(Q4+Q5+Q6+Q7+Q8),IF($I$6=3,$B$5-(Q5+Q6+Q7+Q8),IF($I$6=4,$B$5-(Q6+Q7+Q8),IF($I$6=5,$B$5-(Q7+Q8),IF($I$6=6,$B$5-(Q8),0))))))</f>
        <v>0</v>
      </c>
      <c r="S8" s="1101">
        <v>0</v>
      </c>
      <c r="T8" s="1101">
        <v>0</v>
      </c>
      <c r="U8" s="246">
        <f t="shared" si="0"/>
        <v>0</v>
      </c>
    </row>
    <row r="9" spans="1:21" ht="20.100000000000001" customHeight="1" thickTop="1" thickBot="1">
      <c r="A9" s="16"/>
      <c r="B9" s="127"/>
      <c r="C9" s="96"/>
      <c r="D9" s="108" t="s">
        <v>82</v>
      </c>
      <c r="E9" s="231">
        <f>'(0) 3b. Préstam Financ.'!L22*0</f>
        <v>0</v>
      </c>
      <c r="H9" s="108" t="s">
        <v>97</v>
      </c>
      <c r="I9" s="128">
        <f>'(0) 3b. Préstam Financ.'!L21</f>
        <v>0</v>
      </c>
    </row>
    <row r="10" spans="1:21" ht="20.100000000000001" customHeight="1" thickTop="1" thickBot="1">
      <c r="R10" s="1098"/>
      <c r="S10" s="1098"/>
    </row>
    <row r="11" spans="1:21" ht="33" customHeight="1" thickTop="1" thickBot="1">
      <c r="A11" s="17" t="s">
        <v>13</v>
      </c>
      <c r="B11" s="31" t="s">
        <v>14</v>
      </c>
      <c r="C11" s="18" t="s">
        <v>11</v>
      </c>
      <c r="D11" s="18" t="s">
        <v>6</v>
      </c>
      <c r="E11" s="19" t="s">
        <v>15</v>
      </c>
      <c r="F11" s="64"/>
      <c r="H11" s="17" t="s">
        <v>42</v>
      </c>
      <c r="I11" s="31" t="s">
        <v>14</v>
      </c>
      <c r="J11" s="31" t="s">
        <v>66</v>
      </c>
      <c r="K11" s="32" t="s">
        <v>67</v>
      </c>
      <c r="L11" s="20"/>
      <c r="M11" s="30"/>
      <c r="N11" s="17" t="s">
        <v>42</v>
      </c>
      <c r="O11" s="31" t="s">
        <v>14</v>
      </c>
      <c r="P11" s="31" t="s">
        <v>66</v>
      </c>
      <c r="Q11" s="32" t="s">
        <v>67</v>
      </c>
      <c r="R11" s="1099" t="s">
        <v>15</v>
      </c>
    </row>
    <row r="12" spans="1:21" ht="15.75" customHeight="1" thickTop="1">
      <c r="A12" s="21">
        <v>1</v>
      </c>
      <c r="B12" s="43">
        <f t="shared" ref="B12:B43" si="1">IF(A12&gt;$I$9,IF(E11&gt;1,PMT($B$6/$B$8,$B$7*$B$8,-$B$5),0),0)</f>
        <v>0</v>
      </c>
      <c r="C12" s="122">
        <f>IF(B12&gt;0,B12-D12,E12*($B$6/$B$8))+E9</f>
        <v>0</v>
      </c>
      <c r="D12" s="41">
        <f>IF(A12&gt;$I$9,B12-($B$5*($B$6/$B$8)),0)</f>
        <v>0</v>
      </c>
      <c r="E12" s="67">
        <f>$B$5-D12</f>
        <v>0</v>
      </c>
      <c r="F12" s="51"/>
      <c r="G12" s="4194">
        <f>IF($B$5=0,$N$3,IF(O3&gt;0,N3,IF(O4&gt;0,N4,IF(O5&gt;0,N5,IF(O6&gt;0,N6,N7)))))</f>
        <v>0</v>
      </c>
      <c r="H12" s="34" t="s">
        <v>17</v>
      </c>
      <c r="I12" s="41">
        <f>$B$12</f>
        <v>0</v>
      </c>
      <c r="J12" s="41">
        <f>C12</f>
        <v>0</v>
      </c>
      <c r="K12" s="67">
        <f>D12</f>
        <v>0</v>
      </c>
      <c r="M12" s="4194">
        <f>'1.Datos Básicos. Product-Serv'!B7</f>
        <v>0</v>
      </c>
      <c r="N12" s="34" t="s">
        <v>17</v>
      </c>
      <c r="O12" s="41">
        <f t="shared" ref="O12:O23" si="2">IF($I$6=1,I12,0)</f>
        <v>0</v>
      </c>
      <c r="P12" s="41">
        <f t="shared" ref="P12:P23" si="3">IF($I$6=1,J12,0)</f>
        <v>0</v>
      </c>
      <c r="Q12" s="42">
        <f t="shared" ref="Q12:Q23" si="4">IF($I$6=1,K12,0)</f>
        <v>0</v>
      </c>
      <c r="R12" s="67">
        <f>$B$5-Q12</f>
        <v>0</v>
      </c>
      <c r="S12" s="51"/>
    </row>
    <row r="13" spans="1:21" ht="15.75" customHeight="1">
      <c r="A13" s="23">
        <v>2</v>
      </c>
      <c r="B13" s="43">
        <f t="shared" si="1"/>
        <v>0</v>
      </c>
      <c r="C13" s="123">
        <f t="shared" ref="C13:C71" si="5">IF(B13&gt;0,B13-D13,E13*($B$6/$B$8))</f>
        <v>0</v>
      </c>
      <c r="D13" s="43">
        <f t="shared" ref="D13:D44" si="6">IF(A13&gt;$I$9,B13-(E12*($B$6/$B$8)),0)</f>
        <v>0</v>
      </c>
      <c r="E13" s="68">
        <f t="shared" ref="E13:E44" si="7">IF((E12-D13)&gt;0,E12-D13,0)</f>
        <v>0</v>
      </c>
      <c r="F13" s="51"/>
      <c r="G13" s="4195"/>
      <c r="H13" s="9" t="s">
        <v>18</v>
      </c>
      <c r="I13" s="43">
        <f>IF($B$8=12,B13,0)</f>
        <v>0</v>
      </c>
      <c r="J13" s="43">
        <f>IF($B$8=12,C13,0)</f>
        <v>0</v>
      </c>
      <c r="K13" s="68">
        <f>IF($B$8=12,D13,0)</f>
        <v>0</v>
      </c>
      <c r="M13" s="4195"/>
      <c r="N13" s="9" t="s">
        <v>18</v>
      </c>
      <c r="O13" s="43">
        <f t="shared" si="2"/>
        <v>0</v>
      </c>
      <c r="P13" s="43">
        <f t="shared" si="3"/>
        <v>0</v>
      </c>
      <c r="Q13" s="44">
        <f t="shared" si="4"/>
        <v>0</v>
      </c>
      <c r="R13" s="68">
        <f>IF((R12-Q13)&gt;0,R12-Q13,0)</f>
        <v>0</v>
      </c>
      <c r="S13" s="51"/>
    </row>
    <row r="14" spans="1:21" ht="15.75" customHeight="1">
      <c r="A14" s="23">
        <v>3</v>
      </c>
      <c r="B14" s="43">
        <f t="shared" si="1"/>
        <v>0</v>
      </c>
      <c r="C14" s="123">
        <f t="shared" si="5"/>
        <v>0</v>
      </c>
      <c r="D14" s="43">
        <f t="shared" si="6"/>
        <v>0</v>
      </c>
      <c r="E14" s="68">
        <f t="shared" si="7"/>
        <v>0</v>
      </c>
      <c r="F14" s="51"/>
      <c r="G14" s="4195"/>
      <c r="H14" s="9" t="s">
        <v>19</v>
      </c>
      <c r="I14" s="43">
        <f>IF($B$8=12,B14,IF($B$8=6,B13,0))</f>
        <v>0</v>
      </c>
      <c r="J14" s="43">
        <f>IF($B$8=12,C14,IF($B$8=6,C13,0))</f>
        <v>0</v>
      </c>
      <c r="K14" s="68">
        <f>IF($B$8=12,D14,IF($B$8=6,D13,0))</f>
        <v>0</v>
      </c>
      <c r="M14" s="4195"/>
      <c r="N14" s="9" t="s">
        <v>19</v>
      </c>
      <c r="O14" s="43">
        <f t="shared" si="2"/>
        <v>0</v>
      </c>
      <c r="P14" s="43">
        <f t="shared" si="3"/>
        <v>0</v>
      </c>
      <c r="Q14" s="44">
        <f t="shared" si="4"/>
        <v>0</v>
      </c>
      <c r="R14" s="68">
        <f t="shared" ref="R14:R77" si="8">IF((R13-Q14)&gt;0,R13-Q14,0)</f>
        <v>0</v>
      </c>
      <c r="S14" s="51"/>
    </row>
    <row r="15" spans="1:21" ht="15.75" customHeight="1">
      <c r="A15" s="23">
        <v>4</v>
      </c>
      <c r="B15" s="43">
        <f t="shared" si="1"/>
        <v>0</v>
      </c>
      <c r="C15" s="123">
        <f t="shared" si="5"/>
        <v>0</v>
      </c>
      <c r="D15" s="43">
        <f t="shared" si="6"/>
        <v>0</v>
      </c>
      <c r="E15" s="68">
        <f t="shared" si="7"/>
        <v>0</v>
      </c>
      <c r="F15" s="51"/>
      <c r="G15" s="4195"/>
      <c r="H15" s="9" t="s">
        <v>20</v>
      </c>
      <c r="I15" s="43">
        <f>IF($B$8=12,B15,IF($B$8=4,B13,IF($B$8=6,0,IF($B$8=3,0,0))))</f>
        <v>0</v>
      </c>
      <c r="J15" s="43">
        <f>IF($B$8=12,C15,IF($B$8=4,C13,IF($B$8=6,0,IF($B$8=3,0,0))))</f>
        <v>0</v>
      </c>
      <c r="K15" s="68">
        <f>IF($B$8=12,D15,IF($B$8=4,D13,IF($B$8=6,0,IF($B$8=3,0,0))))</f>
        <v>0</v>
      </c>
      <c r="M15" s="4195"/>
      <c r="N15" s="9" t="s">
        <v>20</v>
      </c>
      <c r="O15" s="43">
        <f t="shared" si="2"/>
        <v>0</v>
      </c>
      <c r="P15" s="43">
        <f t="shared" si="3"/>
        <v>0</v>
      </c>
      <c r="Q15" s="44">
        <f t="shared" si="4"/>
        <v>0</v>
      </c>
      <c r="R15" s="68">
        <f t="shared" si="8"/>
        <v>0</v>
      </c>
      <c r="S15" s="51"/>
    </row>
    <row r="16" spans="1:21" ht="15.75" customHeight="1">
      <c r="A16" s="23">
        <v>5</v>
      </c>
      <c r="B16" s="43">
        <f t="shared" si="1"/>
        <v>0</v>
      </c>
      <c r="C16" s="123">
        <f t="shared" si="5"/>
        <v>0</v>
      </c>
      <c r="D16" s="43">
        <f t="shared" si="6"/>
        <v>0</v>
      </c>
      <c r="E16" s="68">
        <f t="shared" si="7"/>
        <v>0</v>
      </c>
      <c r="F16" s="51"/>
      <c r="G16" s="4195"/>
      <c r="H16" s="9" t="s">
        <v>21</v>
      </c>
      <c r="I16" s="43">
        <f>IF($B$8=12,B16,IF($B$8=4,0,IF($B$8=6,B14,IF($B$8=3,B13,0))))</f>
        <v>0</v>
      </c>
      <c r="J16" s="43">
        <f>IF($B$8=12,C16,IF($B$8=4,0,IF($B$8=6,C14,IF($B$8=3,C13,0))))</f>
        <v>0</v>
      </c>
      <c r="K16" s="68">
        <f>IF($B$8=12,D16,IF($B$8=4,0,IF($B$8=6,D14,IF($B$8=3,D13,0))))</f>
        <v>0</v>
      </c>
      <c r="M16" s="4195"/>
      <c r="N16" s="9" t="s">
        <v>21</v>
      </c>
      <c r="O16" s="43">
        <f t="shared" si="2"/>
        <v>0</v>
      </c>
      <c r="P16" s="43">
        <f t="shared" si="3"/>
        <v>0</v>
      </c>
      <c r="Q16" s="44">
        <f t="shared" si="4"/>
        <v>0</v>
      </c>
      <c r="R16" s="68">
        <f t="shared" si="8"/>
        <v>0</v>
      </c>
      <c r="S16" s="51"/>
    </row>
    <row r="17" spans="1:19" ht="15.75" customHeight="1">
      <c r="A17" s="23">
        <v>6</v>
      </c>
      <c r="B17" s="43">
        <f t="shared" si="1"/>
        <v>0</v>
      </c>
      <c r="C17" s="123">
        <f t="shared" si="5"/>
        <v>0</v>
      </c>
      <c r="D17" s="43">
        <f t="shared" si="6"/>
        <v>0</v>
      </c>
      <c r="E17" s="68">
        <f t="shared" si="7"/>
        <v>0</v>
      </c>
      <c r="F17" s="51"/>
      <c r="G17" s="4195"/>
      <c r="H17" s="9" t="s">
        <v>22</v>
      </c>
      <c r="I17" s="43">
        <f>IF($B$8=12,B17,IF($B$8=4,0,IF($B$8=6,0,IF($B$8=3,0,0))))</f>
        <v>0</v>
      </c>
      <c r="J17" s="43">
        <f>IF($B$8=12,C17,IF($B$8=4,0,IF($B$8=6,0,IF($B$8=3,0,0))))</f>
        <v>0</v>
      </c>
      <c r="K17" s="68">
        <f>IF($B$8=12,D17,IF($B$8=4,0,IF($B$8=6,0,IF($B$8=3,0,0))))</f>
        <v>0</v>
      </c>
      <c r="M17" s="4195"/>
      <c r="N17" s="9" t="s">
        <v>22</v>
      </c>
      <c r="O17" s="43">
        <f t="shared" si="2"/>
        <v>0</v>
      </c>
      <c r="P17" s="43">
        <f t="shared" si="3"/>
        <v>0</v>
      </c>
      <c r="Q17" s="44">
        <f t="shared" si="4"/>
        <v>0</v>
      </c>
      <c r="R17" s="68">
        <f t="shared" si="8"/>
        <v>0</v>
      </c>
      <c r="S17" s="51"/>
    </row>
    <row r="18" spans="1:19" ht="15.75" customHeight="1">
      <c r="A18" s="23">
        <v>7</v>
      </c>
      <c r="B18" s="43">
        <f t="shared" si="1"/>
        <v>0</v>
      </c>
      <c r="C18" s="123">
        <f t="shared" si="5"/>
        <v>0</v>
      </c>
      <c r="D18" s="43">
        <f t="shared" si="6"/>
        <v>0</v>
      </c>
      <c r="E18" s="68">
        <f t="shared" si="7"/>
        <v>0</v>
      </c>
      <c r="F18" s="51"/>
      <c r="G18" s="4195"/>
      <c r="H18" s="9" t="s">
        <v>23</v>
      </c>
      <c r="I18" s="43">
        <f>IF($B$8=12,B18,IF($B$8=4,B14,IF($B$8=6,B15,IF($B$8=3,0,IF($B$8=2,B13,0)))))</f>
        <v>0</v>
      </c>
      <c r="J18" s="43">
        <f>IF($B$8=12,C18,IF($B$8=4,C14,IF($B$8=6,C15,IF($B$8=3,0,IF($B$8=2,C13,0)))))</f>
        <v>0</v>
      </c>
      <c r="K18" s="68">
        <f>IF($B$8=12,D18,IF($B$8=4,D14,IF($B$8=6,D15,IF($B$8=3,0,IF($B$8=2,D13,0)))))</f>
        <v>0</v>
      </c>
      <c r="M18" s="4195"/>
      <c r="N18" s="9" t="s">
        <v>23</v>
      </c>
      <c r="O18" s="43">
        <f t="shared" si="2"/>
        <v>0</v>
      </c>
      <c r="P18" s="43">
        <f t="shared" si="3"/>
        <v>0</v>
      </c>
      <c r="Q18" s="44">
        <f t="shared" si="4"/>
        <v>0</v>
      </c>
      <c r="R18" s="68">
        <f t="shared" si="8"/>
        <v>0</v>
      </c>
      <c r="S18" s="51"/>
    </row>
    <row r="19" spans="1:19" ht="15.75" customHeight="1">
      <c r="A19" s="23">
        <v>8</v>
      </c>
      <c r="B19" s="43">
        <f t="shared" si="1"/>
        <v>0</v>
      </c>
      <c r="C19" s="123">
        <f t="shared" si="5"/>
        <v>0</v>
      </c>
      <c r="D19" s="43">
        <f t="shared" si="6"/>
        <v>0</v>
      </c>
      <c r="E19" s="68">
        <f t="shared" si="7"/>
        <v>0</v>
      </c>
      <c r="F19" s="51"/>
      <c r="G19" s="4195"/>
      <c r="H19" s="9" t="s">
        <v>24</v>
      </c>
      <c r="I19" s="43">
        <f>IF($B$8=12,B19,IF($B$8=4,0,IF($B$8=6,0,IF($B$8=3,0,0))))</f>
        <v>0</v>
      </c>
      <c r="J19" s="43">
        <f>IF($B$8=12,C19,IF($B$8=4,0,IF($B$8=6,0,IF($B$8=3,0,0))))</f>
        <v>0</v>
      </c>
      <c r="K19" s="68">
        <f>IF($B$8=12,D19,IF($B$8=4,0,IF($B$8=6,0,IF($B$8=3,0,0))))</f>
        <v>0</v>
      </c>
      <c r="M19" s="4195"/>
      <c r="N19" s="9" t="s">
        <v>24</v>
      </c>
      <c r="O19" s="43">
        <f t="shared" si="2"/>
        <v>0</v>
      </c>
      <c r="P19" s="43">
        <f t="shared" si="3"/>
        <v>0</v>
      </c>
      <c r="Q19" s="44">
        <f t="shared" si="4"/>
        <v>0</v>
      </c>
      <c r="R19" s="68">
        <f t="shared" si="8"/>
        <v>0</v>
      </c>
      <c r="S19" s="51"/>
    </row>
    <row r="20" spans="1:19" ht="15.75" customHeight="1">
      <c r="A20" s="23">
        <v>9</v>
      </c>
      <c r="B20" s="43">
        <f t="shared" si="1"/>
        <v>0</v>
      </c>
      <c r="C20" s="123">
        <f t="shared" si="5"/>
        <v>0</v>
      </c>
      <c r="D20" s="43">
        <f t="shared" si="6"/>
        <v>0</v>
      </c>
      <c r="E20" s="68">
        <f t="shared" si="7"/>
        <v>0</v>
      </c>
      <c r="F20" s="51"/>
      <c r="G20" s="4195"/>
      <c r="H20" s="9" t="s">
        <v>25</v>
      </c>
      <c r="I20" s="43">
        <f>IF($B$8=12,B20,IF($B$8=4,0,IF($B$8=6,B16,IF($B$8=3,B14,0))))</f>
        <v>0</v>
      </c>
      <c r="J20" s="43">
        <f>IF($B$8=12,C20,IF($B$8=4,0,IF($B$8=6,C16,IF($B$8=3,C14,0))))</f>
        <v>0</v>
      </c>
      <c r="K20" s="68">
        <f>IF($B$8=12,D20,IF($B$8=4,0,IF($B$8=6,D16,IF($B$8=3,D14,0))))</f>
        <v>0</v>
      </c>
      <c r="M20" s="4195"/>
      <c r="N20" s="9" t="s">
        <v>25</v>
      </c>
      <c r="O20" s="43">
        <f t="shared" si="2"/>
        <v>0</v>
      </c>
      <c r="P20" s="43">
        <f t="shared" si="3"/>
        <v>0</v>
      </c>
      <c r="Q20" s="44">
        <f t="shared" si="4"/>
        <v>0</v>
      </c>
      <c r="R20" s="68">
        <f t="shared" si="8"/>
        <v>0</v>
      </c>
      <c r="S20" s="51"/>
    </row>
    <row r="21" spans="1:19" ht="15.75" customHeight="1">
      <c r="A21" s="23">
        <v>10</v>
      </c>
      <c r="B21" s="43">
        <f t="shared" si="1"/>
        <v>0</v>
      </c>
      <c r="C21" s="123">
        <f t="shared" si="5"/>
        <v>0</v>
      </c>
      <c r="D21" s="43">
        <f t="shared" si="6"/>
        <v>0</v>
      </c>
      <c r="E21" s="68">
        <f t="shared" si="7"/>
        <v>0</v>
      </c>
      <c r="F21" s="51"/>
      <c r="G21" s="4195"/>
      <c r="H21" s="9" t="s">
        <v>26</v>
      </c>
      <c r="I21" s="43">
        <f>IF($B$8=12,B21,IF($B$8=4,B15,IF($B$8=6,0,IF($B$8=3,0,0))))</f>
        <v>0</v>
      </c>
      <c r="J21" s="43">
        <f>IF($B$8=12,C21,IF($B$8=4,C15,IF($B$8=6,0,IF($B$8=3,0,0))))</f>
        <v>0</v>
      </c>
      <c r="K21" s="68">
        <f>IF($B$8=12,D21,IF($B$8=4,D15,IF($B$8=6,0,IF($B$8=3,0,0))))</f>
        <v>0</v>
      </c>
      <c r="M21" s="4195"/>
      <c r="N21" s="9" t="s">
        <v>26</v>
      </c>
      <c r="O21" s="43">
        <f t="shared" si="2"/>
        <v>0</v>
      </c>
      <c r="P21" s="43">
        <f t="shared" si="3"/>
        <v>0</v>
      </c>
      <c r="Q21" s="44">
        <f t="shared" si="4"/>
        <v>0</v>
      </c>
      <c r="R21" s="68">
        <f t="shared" si="8"/>
        <v>0</v>
      </c>
      <c r="S21" s="51"/>
    </row>
    <row r="22" spans="1:19" ht="15.75" customHeight="1">
      <c r="A22" s="23">
        <v>11</v>
      </c>
      <c r="B22" s="43">
        <f t="shared" si="1"/>
        <v>0</v>
      </c>
      <c r="C22" s="123">
        <f t="shared" si="5"/>
        <v>0</v>
      </c>
      <c r="D22" s="43">
        <f t="shared" si="6"/>
        <v>0</v>
      </c>
      <c r="E22" s="68">
        <f t="shared" si="7"/>
        <v>0</v>
      </c>
      <c r="F22" s="51"/>
      <c r="G22" s="4195"/>
      <c r="H22" s="9" t="s">
        <v>27</v>
      </c>
      <c r="I22" s="43">
        <f>IF($B$8=12,B22,IF($B$8=4,0,IF($B$8=6,B17,IF($B$8=3,0,0))))</f>
        <v>0</v>
      </c>
      <c r="J22" s="43">
        <f>IF($B$8=12,C22,IF($B$8=4,0,IF($B$8=6,C17,IF($B$8=3,0,0))))</f>
        <v>0</v>
      </c>
      <c r="K22" s="68">
        <f>IF($B$8=12,D22,IF($B$8=4,0,IF($B$8=6,D17,IF($B$8=3,0,0))))</f>
        <v>0</v>
      </c>
      <c r="M22" s="4195"/>
      <c r="N22" s="9" t="s">
        <v>27</v>
      </c>
      <c r="O22" s="43">
        <f t="shared" si="2"/>
        <v>0</v>
      </c>
      <c r="P22" s="43">
        <f t="shared" si="3"/>
        <v>0</v>
      </c>
      <c r="Q22" s="44">
        <f t="shared" si="4"/>
        <v>0</v>
      </c>
      <c r="R22" s="68">
        <f t="shared" si="8"/>
        <v>0</v>
      </c>
      <c r="S22" s="51"/>
    </row>
    <row r="23" spans="1:19" ht="15.75" customHeight="1" thickBot="1">
      <c r="A23" s="24">
        <v>12</v>
      </c>
      <c r="B23" s="70">
        <f t="shared" si="1"/>
        <v>0</v>
      </c>
      <c r="C23" s="139">
        <f t="shared" si="5"/>
        <v>0</v>
      </c>
      <c r="D23" s="70">
        <f t="shared" si="6"/>
        <v>0</v>
      </c>
      <c r="E23" s="75">
        <f t="shared" si="7"/>
        <v>0</v>
      </c>
      <c r="F23" s="243">
        <f>SUM(D12:D23)</f>
        <v>0</v>
      </c>
      <c r="G23" s="4196"/>
      <c r="H23" s="37" t="s">
        <v>28</v>
      </c>
      <c r="I23" s="70">
        <f>IF($B$8=12,B23,IF($B$8=4,0,IF($B$8=6,0,IF($B$8=3,0,0))))</f>
        <v>0</v>
      </c>
      <c r="J23" s="70">
        <f>IF($B$8=12,C23,IF($B$8=4,0,IF($B$8=6,0,IF($B$8=3,0,0))))</f>
        <v>0</v>
      </c>
      <c r="K23" s="72">
        <f>IF($B$8=12,D23,IF($B$8=4,0,IF($B$8=6,0,IF($B$8=3,0,0))))</f>
        <v>0</v>
      </c>
      <c r="M23" s="4196"/>
      <c r="N23" s="35" t="s">
        <v>28</v>
      </c>
      <c r="O23" s="45">
        <f t="shared" si="2"/>
        <v>0</v>
      </c>
      <c r="P23" s="45">
        <f t="shared" si="3"/>
        <v>0</v>
      </c>
      <c r="Q23" s="46">
        <f t="shared" si="4"/>
        <v>0</v>
      </c>
      <c r="R23" s="75">
        <f t="shared" si="8"/>
        <v>0</v>
      </c>
      <c r="S23" s="1100">
        <f>SUM(Q12:Q23)</f>
        <v>0</v>
      </c>
    </row>
    <row r="24" spans="1:19" ht="15.75" customHeight="1">
      <c r="A24" s="23">
        <v>13</v>
      </c>
      <c r="B24" s="43">
        <f t="shared" si="1"/>
        <v>0</v>
      </c>
      <c r="C24" s="123">
        <f t="shared" si="5"/>
        <v>0</v>
      </c>
      <c r="D24" s="43">
        <f t="shared" si="6"/>
        <v>0</v>
      </c>
      <c r="E24" s="68">
        <f t="shared" si="7"/>
        <v>0</v>
      </c>
      <c r="F24" s="51"/>
      <c r="G24" s="4194">
        <f>G12+1</f>
        <v>1</v>
      </c>
      <c r="H24" s="22" t="s">
        <v>17</v>
      </c>
      <c r="I24" s="43">
        <f>IF($B$8=12,B24,IF($B$8=4,B16,IF($B$8=6,B18,IF($B$8=3,B15,IF($B$8=2,B14,IF($B$8,B13,0))))))</f>
        <v>0</v>
      </c>
      <c r="J24" s="43">
        <f>IF($B$8=12,C24,IF($B$8=4,C16,IF($B$8=6,C18,IF($B$8=3,C15,IF($B$8=2,C14,IF($B$8,C13,0))))))</f>
        <v>0</v>
      </c>
      <c r="K24" s="68">
        <f>IF($B$8=12,D24,IF($B$8=4,D16,IF($B$8=6,D18,IF($B$8=3,D15,IF($B$8=2,D14,IF($B$8,D13,0))))))</f>
        <v>0</v>
      </c>
      <c r="M24" s="4194">
        <f>M12+1</f>
        <v>1</v>
      </c>
      <c r="N24" s="9" t="s">
        <v>17</v>
      </c>
      <c r="O24" s="43">
        <f t="shared" ref="O24:O35" si="9">IF($I$6=2,I12,IF($I$6=1,I24,0))</f>
        <v>0</v>
      </c>
      <c r="P24" s="43">
        <f t="shared" ref="P24:P35" si="10">IF($I$6=2,J12,IF($I$6=1,J24,0))</f>
        <v>0</v>
      </c>
      <c r="Q24" s="44">
        <f t="shared" ref="Q24:Q35" si="11">IF($I$6=2,K12,IF($I$6=1,K24,0))</f>
        <v>0</v>
      </c>
      <c r="R24" s="68">
        <f t="shared" si="8"/>
        <v>0</v>
      </c>
      <c r="S24" s="51"/>
    </row>
    <row r="25" spans="1:19" ht="15.75" customHeight="1">
      <c r="A25" s="23">
        <v>14</v>
      </c>
      <c r="B25" s="43">
        <f t="shared" si="1"/>
        <v>0</v>
      </c>
      <c r="C25" s="123">
        <f t="shared" si="5"/>
        <v>0</v>
      </c>
      <c r="D25" s="43">
        <f t="shared" si="6"/>
        <v>0</v>
      </c>
      <c r="E25" s="68">
        <f t="shared" si="7"/>
        <v>0</v>
      </c>
      <c r="F25" s="51"/>
      <c r="G25" s="4195"/>
      <c r="H25" s="22" t="s">
        <v>18</v>
      </c>
      <c r="I25" s="43">
        <f>IF($B$8=12,B25,0)</f>
        <v>0</v>
      </c>
      <c r="J25" s="43">
        <f>IF($B$8=12,C25,0)</f>
        <v>0</v>
      </c>
      <c r="K25" s="68">
        <f>IF($B$8=12,D25,0)</f>
        <v>0</v>
      </c>
      <c r="M25" s="4195"/>
      <c r="N25" s="9" t="s">
        <v>18</v>
      </c>
      <c r="O25" s="43">
        <f t="shared" si="9"/>
        <v>0</v>
      </c>
      <c r="P25" s="43">
        <f t="shared" si="10"/>
        <v>0</v>
      </c>
      <c r="Q25" s="44">
        <f t="shared" si="11"/>
        <v>0</v>
      </c>
      <c r="R25" s="68">
        <f t="shared" si="8"/>
        <v>0</v>
      </c>
      <c r="S25" s="51"/>
    </row>
    <row r="26" spans="1:19" ht="15.75" customHeight="1">
      <c r="A26" s="23">
        <v>15</v>
      </c>
      <c r="B26" s="43">
        <f t="shared" si="1"/>
        <v>0</v>
      </c>
      <c r="C26" s="123">
        <f t="shared" si="5"/>
        <v>0</v>
      </c>
      <c r="D26" s="43">
        <f t="shared" si="6"/>
        <v>0</v>
      </c>
      <c r="E26" s="68">
        <f t="shared" si="7"/>
        <v>0</v>
      </c>
      <c r="F26" s="51"/>
      <c r="G26" s="4195"/>
      <c r="H26" s="22" t="s">
        <v>19</v>
      </c>
      <c r="I26" s="43">
        <f>IF($B$8=12,B26,IF($B$8=6,B19,0))</f>
        <v>0</v>
      </c>
      <c r="J26" s="43">
        <f>IF($B$8=12,C26,IF($B$8=6,C19,0))</f>
        <v>0</v>
      </c>
      <c r="K26" s="68">
        <f>IF($B$8=12,D26,IF($B$8=6,D19,0))</f>
        <v>0</v>
      </c>
      <c r="M26" s="4195"/>
      <c r="N26" s="9" t="s">
        <v>19</v>
      </c>
      <c r="O26" s="43">
        <f t="shared" si="9"/>
        <v>0</v>
      </c>
      <c r="P26" s="43">
        <f t="shared" si="10"/>
        <v>0</v>
      </c>
      <c r="Q26" s="44">
        <f t="shared" si="11"/>
        <v>0</v>
      </c>
      <c r="R26" s="68">
        <f t="shared" si="8"/>
        <v>0</v>
      </c>
      <c r="S26" s="51"/>
    </row>
    <row r="27" spans="1:19" ht="15.75" customHeight="1">
      <c r="A27" s="23">
        <v>16</v>
      </c>
      <c r="B27" s="43">
        <f t="shared" si="1"/>
        <v>0</v>
      </c>
      <c r="C27" s="123">
        <f t="shared" si="5"/>
        <v>0</v>
      </c>
      <c r="D27" s="43">
        <f t="shared" si="6"/>
        <v>0</v>
      </c>
      <c r="E27" s="68">
        <f t="shared" si="7"/>
        <v>0</v>
      </c>
      <c r="F27" s="51"/>
      <c r="G27" s="4195"/>
      <c r="H27" s="22" t="s">
        <v>20</v>
      </c>
      <c r="I27" s="43">
        <f>IF($B$8=12,B27,IF($B$8=4,B17,IF($B$8=6,0,IF($B$8=3,0,0))))</f>
        <v>0</v>
      </c>
      <c r="J27" s="43">
        <f>IF($B$8=12,C27,IF($B$8=4,C17,IF($B$8=6,0,IF($B$8=3,0,0))))</f>
        <v>0</v>
      </c>
      <c r="K27" s="68">
        <f>IF($B$8=12,D27,IF($B$8=4,D17,IF($B$8=6,0,IF($B$8=3,0,0))))</f>
        <v>0</v>
      </c>
      <c r="M27" s="4195"/>
      <c r="N27" s="9" t="s">
        <v>20</v>
      </c>
      <c r="O27" s="43">
        <f t="shared" si="9"/>
        <v>0</v>
      </c>
      <c r="P27" s="43">
        <f t="shared" si="10"/>
        <v>0</v>
      </c>
      <c r="Q27" s="44">
        <f t="shared" si="11"/>
        <v>0</v>
      </c>
      <c r="R27" s="68">
        <f t="shared" si="8"/>
        <v>0</v>
      </c>
      <c r="S27" s="51"/>
    </row>
    <row r="28" spans="1:19" ht="15.75" customHeight="1">
      <c r="A28" s="23">
        <v>17</v>
      </c>
      <c r="B28" s="43">
        <f t="shared" si="1"/>
        <v>0</v>
      </c>
      <c r="C28" s="123">
        <f t="shared" si="5"/>
        <v>0</v>
      </c>
      <c r="D28" s="43">
        <f t="shared" si="6"/>
        <v>0</v>
      </c>
      <c r="E28" s="68">
        <f t="shared" si="7"/>
        <v>0</v>
      </c>
      <c r="F28" s="51"/>
      <c r="G28" s="4195"/>
      <c r="H28" s="22" t="s">
        <v>21</v>
      </c>
      <c r="I28" s="43">
        <f>IF($B$8=12,B28,IF($B$8=4,0,IF($B$8=6,B20,IF($B$8=3,B16,0))))</f>
        <v>0</v>
      </c>
      <c r="J28" s="43">
        <f>IF($B$8=12,C28,IF($B$8=4,0,IF($B$8=6,C20,IF($B$8=3,C16,0))))</f>
        <v>0</v>
      </c>
      <c r="K28" s="68">
        <f>IF($B$8=12,D28,IF($B$8=4,0,IF($B$8=6,D20,IF($B$8=3,D16,0))))</f>
        <v>0</v>
      </c>
      <c r="M28" s="4195"/>
      <c r="N28" s="9" t="s">
        <v>21</v>
      </c>
      <c r="O28" s="43">
        <f t="shared" si="9"/>
        <v>0</v>
      </c>
      <c r="P28" s="43">
        <f t="shared" si="10"/>
        <v>0</v>
      </c>
      <c r="Q28" s="44">
        <f t="shared" si="11"/>
        <v>0</v>
      </c>
      <c r="R28" s="68">
        <f t="shared" si="8"/>
        <v>0</v>
      </c>
      <c r="S28" s="51"/>
    </row>
    <row r="29" spans="1:19" ht="15.75" customHeight="1">
      <c r="A29" s="23">
        <v>18</v>
      </c>
      <c r="B29" s="43">
        <f t="shared" si="1"/>
        <v>0</v>
      </c>
      <c r="C29" s="123">
        <f t="shared" si="5"/>
        <v>0</v>
      </c>
      <c r="D29" s="43">
        <f t="shared" si="6"/>
        <v>0</v>
      </c>
      <c r="E29" s="68">
        <f t="shared" si="7"/>
        <v>0</v>
      </c>
      <c r="F29" s="51"/>
      <c r="G29" s="4195"/>
      <c r="H29" s="22" t="s">
        <v>22</v>
      </c>
      <c r="I29" s="43">
        <f>IF($B$8=12,B29,IF($B$8=4,0,IF($B$8=6,0,IF($B$8=3,0,0))))</f>
        <v>0</v>
      </c>
      <c r="J29" s="43">
        <f>IF($B$8=12,C29,IF($B$8=4,0,IF($B$8=6,0,IF($B$8=3,0,0))))</f>
        <v>0</v>
      </c>
      <c r="K29" s="68">
        <f>IF($B$8=12,D29,IF($B$8=4,0,IF($B$8=6,0,IF($B$8=3,0,0))))</f>
        <v>0</v>
      </c>
      <c r="M29" s="4195"/>
      <c r="N29" s="9" t="s">
        <v>22</v>
      </c>
      <c r="O29" s="43">
        <f t="shared" si="9"/>
        <v>0</v>
      </c>
      <c r="P29" s="43">
        <f t="shared" si="10"/>
        <v>0</v>
      </c>
      <c r="Q29" s="44">
        <f t="shared" si="11"/>
        <v>0</v>
      </c>
      <c r="R29" s="68">
        <f t="shared" si="8"/>
        <v>0</v>
      </c>
      <c r="S29" s="51"/>
    </row>
    <row r="30" spans="1:19" ht="15.75" customHeight="1">
      <c r="A30" s="23">
        <v>19</v>
      </c>
      <c r="B30" s="43">
        <f t="shared" si="1"/>
        <v>0</v>
      </c>
      <c r="C30" s="123">
        <f t="shared" si="5"/>
        <v>0</v>
      </c>
      <c r="D30" s="43">
        <f t="shared" si="6"/>
        <v>0</v>
      </c>
      <c r="E30" s="68">
        <f t="shared" si="7"/>
        <v>0</v>
      </c>
      <c r="F30" s="51"/>
      <c r="G30" s="4195"/>
      <c r="H30" s="22" t="s">
        <v>23</v>
      </c>
      <c r="I30" s="43">
        <f>IF($B$8=12,B30,IF($B$8=4,B18,IF($B$8=6,B21,IF($B$8=3,0,IF($B$8=2,B15,0)))))</f>
        <v>0</v>
      </c>
      <c r="J30" s="43">
        <f>IF($B$8=12,C30,IF($B$8=4,C18,IF($B$8=6,C21,IF($B$8=3,0,IF($B$8=2,C15,0)))))</f>
        <v>0</v>
      </c>
      <c r="K30" s="68">
        <f>IF($B$8=12,D30,IF($B$8=4,D18,IF($B$8=6,D21,IF($B$8=3,0,IF($B$8=2,D15,0)))))</f>
        <v>0</v>
      </c>
      <c r="M30" s="4195"/>
      <c r="N30" s="9" t="s">
        <v>23</v>
      </c>
      <c r="O30" s="43">
        <f t="shared" si="9"/>
        <v>0</v>
      </c>
      <c r="P30" s="43">
        <f t="shared" si="10"/>
        <v>0</v>
      </c>
      <c r="Q30" s="44">
        <f t="shared" si="11"/>
        <v>0</v>
      </c>
      <c r="R30" s="68">
        <f t="shared" si="8"/>
        <v>0</v>
      </c>
      <c r="S30" s="51"/>
    </row>
    <row r="31" spans="1:19" ht="15.75" customHeight="1">
      <c r="A31" s="23">
        <v>20</v>
      </c>
      <c r="B31" s="43">
        <f t="shared" si="1"/>
        <v>0</v>
      </c>
      <c r="C31" s="123">
        <f t="shared" si="5"/>
        <v>0</v>
      </c>
      <c r="D31" s="43">
        <f t="shared" si="6"/>
        <v>0</v>
      </c>
      <c r="E31" s="68">
        <f t="shared" si="7"/>
        <v>0</v>
      </c>
      <c r="F31" s="51"/>
      <c r="G31" s="4195"/>
      <c r="H31" s="22" t="s">
        <v>24</v>
      </c>
      <c r="I31" s="43">
        <f>IF($B$8=12,B31,IF($B$8=4,0,IF($B$8=6,0,IF($B$8=3,0,0))))</f>
        <v>0</v>
      </c>
      <c r="J31" s="43">
        <f>IF($B$8=12,C31,IF($B$8=4,0,IF($B$8=6,0,IF($B$8=3,0,0))))</f>
        <v>0</v>
      </c>
      <c r="K31" s="68">
        <f>IF($B$8=12,D31,IF($B$8=4,0,IF($B$8=6,0,IF($B$8=3,0,0))))</f>
        <v>0</v>
      </c>
      <c r="M31" s="4195"/>
      <c r="N31" s="9" t="s">
        <v>24</v>
      </c>
      <c r="O31" s="43">
        <f t="shared" si="9"/>
        <v>0</v>
      </c>
      <c r="P31" s="43">
        <f t="shared" si="10"/>
        <v>0</v>
      </c>
      <c r="Q31" s="44">
        <f t="shared" si="11"/>
        <v>0</v>
      </c>
      <c r="R31" s="68">
        <f t="shared" si="8"/>
        <v>0</v>
      </c>
      <c r="S31" s="51"/>
    </row>
    <row r="32" spans="1:19" ht="15.75" customHeight="1">
      <c r="A32" s="23">
        <v>21</v>
      </c>
      <c r="B32" s="43">
        <f t="shared" si="1"/>
        <v>0</v>
      </c>
      <c r="C32" s="123">
        <f t="shared" si="5"/>
        <v>0</v>
      </c>
      <c r="D32" s="43">
        <f t="shared" si="6"/>
        <v>0</v>
      </c>
      <c r="E32" s="68">
        <f t="shared" si="7"/>
        <v>0</v>
      </c>
      <c r="F32" s="51"/>
      <c r="G32" s="4195"/>
      <c r="H32" s="22" t="s">
        <v>25</v>
      </c>
      <c r="I32" s="43">
        <f>IF($B$8=12,B32,IF($B$8=4,0,IF($B$8=6,B22,IF($B$8=3,B17,0))))</f>
        <v>0</v>
      </c>
      <c r="J32" s="43">
        <f>IF($B$8=12,C32,IF($B$8=4,0,IF($B$8=6,C22,IF($B$8=3,C17,0))))</f>
        <v>0</v>
      </c>
      <c r="K32" s="68">
        <f>IF($B$8=12,D32,IF($B$8=4,0,IF($B$8=6,D22,IF($B$8=3,D17,0))))</f>
        <v>0</v>
      </c>
      <c r="M32" s="4195"/>
      <c r="N32" s="9" t="s">
        <v>25</v>
      </c>
      <c r="O32" s="43">
        <f t="shared" si="9"/>
        <v>0</v>
      </c>
      <c r="P32" s="43">
        <f t="shared" si="10"/>
        <v>0</v>
      </c>
      <c r="Q32" s="44">
        <f t="shared" si="11"/>
        <v>0</v>
      </c>
      <c r="R32" s="68">
        <f t="shared" si="8"/>
        <v>0</v>
      </c>
      <c r="S32" s="51"/>
    </row>
    <row r="33" spans="1:19" ht="15.75" customHeight="1">
      <c r="A33" s="23">
        <v>22</v>
      </c>
      <c r="B33" s="43">
        <f t="shared" si="1"/>
        <v>0</v>
      </c>
      <c r="C33" s="123">
        <f t="shared" si="5"/>
        <v>0</v>
      </c>
      <c r="D33" s="43">
        <f t="shared" si="6"/>
        <v>0</v>
      </c>
      <c r="E33" s="68">
        <f t="shared" si="7"/>
        <v>0</v>
      </c>
      <c r="F33" s="51"/>
      <c r="G33" s="4195"/>
      <c r="H33" s="22" t="s">
        <v>26</v>
      </c>
      <c r="I33" s="43">
        <f>IF($B$8=12,B33,IF($B$8=4,B19,IF($B$8=6,0,IF($B$8=3,0,0))))</f>
        <v>0</v>
      </c>
      <c r="J33" s="43">
        <f>IF($B$8=12,C33,IF($B$8=4,C19,IF($B$8=6,0,IF($B$8=3,0,0))))</f>
        <v>0</v>
      </c>
      <c r="K33" s="68">
        <f>IF($B$8=12,D33,IF($B$8=4,D19,IF($B$8=6,0,IF($B$8=3,0,0))))</f>
        <v>0</v>
      </c>
      <c r="M33" s="4195"/>
      <c r="N33" s="9" t="s">
        <v>26</v>
      </c>
      <c r="O33" s="43">
        <f t="shared" si="9"/>
        <v>0</v>
      </c>
      <c r="P33" s="43">
        <f t="shared" si="10"/>
        <v>0</v>
      </c>
      <c r="Q33" s="44">
        <f t="shared" si="11"/>
        <v>0</v>
      </c>
      <c r="R33" s="68">
        <f t="shared" si="8"/>
        <v>0</v>
      </c>
      <c r="S33" s="51"/>
    </row>
    <row r="34" spans="1:19" ht="15.75" customHeight="1">
      <c r="A34" s="23">
        <v>23</v>
      </c>
      <c r="B34" s="43">
        <f t="shared" si="1"/>
        <v>0</v>
      </c>
      <c r="C34" s="123">
        <f t="shared" si="5"/>
        <v>0</v>
      </c>
      <c r="D34" s="43">
        <f t="shared" si="6"/>
        <v>0</v>
      </c>
      <c r="E34" s="68">
        <f t="shared" si="7"/>
        <v>0</v>
      </c>
      <c r="F34" s="51"/>
      <c r="G34" s="4195"/>
      <c r="H34" s="22" t="s">
        <v>27</v>
      </c>
      <c r="I34" s="43">
        <f>IF($B$8=12,B34,IF($B$8=4,0,IF($B$8=6,B23,IF($B$8=3,0,0))))</f>
        <v>0</v>
      </c>
      <c r="J34" s="43">
        <f>IF($B$8=12,C34,IF($B$8=4,0,IF($B$8=6,C23,IF($B$8=3,0,0))))</f>
        <v>0</v>
      </c>
      <c r="K34" s="68">
        <f>IF($B$8=12,D34,IF($B$8=4,0,IF($B$8=6,D23,IF($B$8=3,0,0))))</f>
        <v>0</v>
      </c>
      <c r="M34" s="4195"/>
      <c r="N34" s="9" t="s">
        <v>27</v>
      </c>
      <c r="O34" s="43">
        <f t="shared" si="9"/>
        <v>0</v>
      </c>
      <c r="P34" s="43">
        <f t="shared" si="10"/>
        <v>0</v>
      </c>
      <c r="Q34" s="44">
        <f t="shared" si="11"/>
        <v>0</v>
      </c>
      <c r="R34" s="68">
        <f t="shared" si="8"/>
        <v>0</v>
      </c>
      <c r="S34" s="51"/>
    </row>
    <row r="35" spans="1:19" ht="15.75" customHeight="1" thickBot="1">
      <c r="A35" s="24">
        <v>24</v>
      </c>
      <c r="B35" s="70">
        <f t="shared" si="1"/>
        <v>0</v>
      </c>
      <c r="C35" s="139">
        <f t="shared" si="5"/>
        <v>0</v>
      </c>
      <c r="D35" s="70">
        <f t="shared" si="6"/>
        <v>0</v>
      </c>
      <c r="E35" s="75">
        <f t="shared" si="7"/>
        <v>0</v>
      </c>
      <c r="F35" s="243">
        <f>SUM(D24:D35)</f>
        <v>0</v>
      </c>
      <c r="G35" s="4196"/>
      <c r="H35" s="25" t="s">
        <v>28</v>
      </c>
      <c r="I35" s="70">
        <f>IF($B$8=12,B35,IF($B$8=4,0,IF($B$8=6,0,IF($B$8=3,0,0))))</f>
        <v>0</v>
      </c>
      <c r="J35" s="70">
        <f>IF($B$8=12,C35,IF($B$8=4,0,IF($B$8=6,0,IF($B$8=3,0,0))))</f>
        <v>0</v>
      </c>
      <c r="K35" s="72">
        <f>IF($B$8=12,D35,IF($B$8=4,0,IF($B$8=6,0,IF($B$8=3,0,0))))</f>
        <v>0</v>
      </c>
      <c r="M35" s="4196"/>
      <c r="N35" s="35" t="s">
        <v>28</v>
      </c>
      <c r="O35" s="43">
        <f t="shared" si="9"/>
        <v>0</v>
      </c>
      <c r="P35" s="43">
        <f t="shared" si="10"/>
        <v>0</v>
      </c>
      <c r="Q35" s="46">
        <f t="shared" si="11"/>
        <v>0</v>
      </c>
      <c r="R35" s="75">
        <f t="shared" si="8"/>
        <v>0</v>
      </c>
      <c r="S35" s="1100">
        <f>SUM(Q24:Q35)</f>
        <v>0</v>
      </c>
    </row>
    <row r="36" spans="1:19" ht="15.75" customHeight="1">
      <c r="A36" s="23">
        <v>25</v>
      </c>
      <c r="B36" s="43">
        <f t="shared" si="1"/>
        <v>0</v>
      </c>
      <c r="C36" s="123">
        <f t="shared" si="5"/>
        <v>0</v>
      </c>
      <c r="D36" s="43">
        <f t="shared" si="6"/>
        <v>0</v>
      </c>
      <c r="E36" s="68">
        <f t="shared" si="7"/>
        <v>0</v>
      </c>
      <c r="F36" s="51"/>
      <c r="G36" s="4194">
        <f>G24+1</f>
        <v>2</v>
      </c>
      <c r="H36" s="22" t="s">
        <v>17</v>
      </c>
      <c r="I36" s="43">
        <f>IF($B$8=12,B36,IF($B$8=4,B20,IF($B$8=6,B24,IF($B$8=3,B18,IF($B$8=2,B16,IF($B$8=1,B14,0))))))</f>
        <v>0</v>
      </c>
      <c r="J36" s="43">
        <f>IF($B$8=12,C36,IF($B$8=4,C20,IF($B$8=6,C24,IF($B$8=3,C18,IF($B$8=2,C16,IF($B$8=1,C14,0))))))</f>
        <v>0</v>
      </c>
      <c r="K36" s="68">
        <f>IF($B$8=12,D36,IF($B$8=4,D20,IF($B$8=6,D24,IF($B$8=3,D18,IF($B$8=2,D16,IF($B$8=1,D14,0))))))</f>
        <v>0</v>
      </c>
      <c r="M36" s="4194">
        <f>M12+2</f>
        <v>2</v>
      </c>
      <c r="N36" s="9" t="s">
        <v>17</v>
      </c>
      <c r="O36" s="76">
        <f t="shared" ref="O36:O47" si="12">IF($I$6=3,I12,IF($I$6=2,I24,IF($I$6=1,I36,0)))</f>
        <v>0</v>
      </c>
      <c r="P36" s="76">
        <f t="shared" ref="P36:P47" si="13">IF($I$6=3,J12,IF($I$6=2,J24,IF($I$6=1,J36,0)))</f>
        <v>0</v>
      </c>
      <c r="Q36" s="77">
        <f t="shared" ref="Q36:Q47" si="14">IF($I$6=3,K12,IF($I$6=2,K24,IF($I$6=1,K36,0)))</f>
        <v>0</v>
      </c>
      <c r="R36" s="68">
        <f t="shared" si="8"/>
        <v>0</v>
      </c>
      <c r="S36" s="51"/>
    </row>
    <row r="37" spans="1:19" ht="15.75" customHeight="1">
      <c r="A37" s="23">
        <v>26</v>
      </c>
      <c r="B37" s="43">
        <f t="shared" si="1"/>
        <v>0</v>
      </c>
      <c r="C37" s="123">
        <f t="shared" si="5"/>
        <v>0</v>
      </c>
      <c r="D37" s="43">
        <f t="shared" si="6"/>
        <v>0</v>
      </c>
      <c r="E37" s="68">
        <f t="shared" si="7"/>
        <v>0</v>
      </c>
      <c r="F37" s="51"/>
      <c r="G37" s="4195"/>
      <c r="H37" s="22" t="s">
        <v>18</v>
      </c>
      <c r="I37" s="43">
        <f>IF($B$8=12,B37,0)</f>
        <v>0</v>
      </c>
      <c r="J37" s="43">
        <f>IF($B$8=12,C37,0)</f>
        <v>0</v>
      </c>
      <c r="K37" s="68">
        <f>IF($B$8=12,D37,0)</f>
        <v>0</v>
      </c>
      <c r="M37" s="4195"/>
      <c r="N37" s="9" t="s">
        <v>18</v>
      </c>
      <c r="O37" s="43">
        <f t="shared" si="12"/>
        <v>0</v>
      </c>
      <c r="P37" s="43">
        <f t="shared" si="13"/>
        <v>0</v>
      </c>
      <c r="Q37" s="44">
        <f t="shared" si="14"/>
        <v>0</v>
      </c>
      <c r="R37" s="68">
        <f t="shared" si="8"/>
        <v>0</v>
      </c>
      <c r="S37" s="51"/>
    </row>
    <row r="38" spans="1:19" ht="15.75" customHeight="1">
      <c r="A38" s="23">
        <v>27</v>
      </c>
      <c r="B38" s="43">
        <f t="shared" si="1"/>
        <v>0</v>
      </c>
      <c r="C38" s="123">
        <f t="shared" si="5"/>
        <v>0</v>
      </c>
      <c r="D38" s="43">
        <f t="shared" si="6"/>
        <v>0</v>
      </c>
      <c r="E38" s="68">
        <f t="shared" si="7"/>
        <v>0</v>
      </c>
      <c r="F38" s="51"/>
      <c r="G38" s="4195"/>
      <c r="H38" s="22" t="s">
        <v>19</v>
      </c>
      <c r="I38" s="43">
        <f>IF($B$8=12,B38,IF($B$8=6,B25,0))</f>
        <v>0</v>
      </c>
      <c r="J38" s="43">
        <f>IF($B$8=12,C38,IF($B$8=6,C25,0))</f>
        <v>0</v>
      </c>
      <c r="K38" s="68">
        <f>IF($B$8=12,D38,IF($B$8=6,D25,0))</f>
        <v>0</v>
      </c>
      <c r="M38" s="4195"/>
      <c r="N38" s="9" t="s">
        <v>19</v>
      </c>
      <c r="O38" s="43">
        <f t="shared" si="12"/>
        <v>0</v>
      </c>
      <c r="P38" s="43">
        <f t="shared" si="13"/>
        <v>0</v>
      </c>
      <c r="Q38" s="44">
        <f t="shared" si="14"/>
        <v>0</v>
      </c>
      <c r="R38" s="68">
        <f t="shared" si="8"/>
        <v>0</v>
      </c>
      <c r="S38" s="51"/>
    </row>
    <row r="39" spans="1:19" ht="15.75" customHeight="1">
      <c r="A39" s="23">
        <v>28</v>
      </c>
      <c r="B39" s="43">
        <f t="shared" si="1"/>
        <v>0</v>
      </c>
      <c r="C39" s="123">
        <f t="shared" si="5"/>
        <v>0</v>
      </c>
      <c r="D39" s="43">
        <f t="shared" si="6"/>
        <v>0</v>
      </c>
      <c r="E39" s="68">
        <f t="shared" si="7"/>
        <v>0</v>
      </c>
      <c r="F39" s="51"/>
      <c r="G39" s="4195"/>
      <c r="H39" s="22" t="s">
        <v>20</v>
      </c>
      <c r="I39" s="43">
        <f>IF($B$8=12,B39,IF($B$8=4,B21,IF($B$8=6,0,IF($B$8=3,0,0))))</f>
        <v>0</v>
      </c>
      <c r="J39" s="43">
        <f>IF($B$8=12,C39,IF($B$8=4,C21,IF($B$8=6,0,IF($B$8=3,0,0))))</f>
        <v>0</v>
      </c>
      <c r="K39" s="68">
        <f>IF($B$8=12,D39,IF($B$8=4,D21,IF($B$8=6,0,IF($B$8=3,0,0))))</f>
        <v>0</v>
      </c>
      <c r="M39" s="4195"/>
      <c r="N39" s="9" t="s">
        <v>20</v>
      </c>
      <c r="O39" s="43">
        <f t="shared" si="12"/>
        <v>0</v>
      </c>
      <c r="P39" s="43">
        <f t="shared" si="13"/>
        <v>0</v>
      </c>
      <c r="Q39" s="44">
        <f t="shared" si="14"/>
        <v>0</v>
      </c>
      <c r="R39" s="68">
        <f t="shared" si="8"/>
        <v>0</v>
      </c>
      <c r="S39" s="51"/>
    </row>
    <row r="40" spans="1:19" ht="15.75" customHeight="1">
      <c r="A40" s="23">
        <v>29</v>
      </c>
      <c r="B40" s="43">
        <f t="shared" si="1"/>
        <v>0</v>
      </c>
      <c r="C40" s="123">
        <f t="shared" si="5"/>
        <v>0</v>
      </c>
      <c r="D40" s="43">
        <f t="shared" si="6"/>
        <v>0</v>
      </c>
      <c r="E40" s="68">
        <f t="shared" si="7"/>
        <v>0</v>
      </c>
      <c r="F40" s="51"/>
      <c r="G40" s="4195"/>
      <c r="H40" s="22" t="s">
        <v>21</v>
      </c>
      <c r="I40" s="43">
        <f>IF($B$8=12,B40,IF($B$8=4,0,IF($B$8=6,B26,IF($B$8=3,B19,0))))</f>
        <v>0</v>
      </c>
      <c r="J40" s="43">
        <f>IF($B$8=12,C40,IF($B$8=4,0,IF($B$8=6,C26,IF($B$8=3,C19,0))))</f>
        <v>0</v>
      </c>
      <c r="K40" s="68">
        <f>IF($B$8=12,D40,IF($B$8=4,0,IF($B$8=6,D26,IF($B$8=3,D19,0))))</f>
        <v>0</v>
      </c>
      <c r="M40" s="4195"/>
      <c r="N40" s="9" t="s">
        <v>21</v>
      </c>
      <c r="O40" s="43">
        <f t="shared" si="12"/>
        <v>0</v>
      </c>
      <c r="P40" s="43">
        <f t="shared" si="13"/>
        <v>0</v>
      </c>
      <c r="Q40" s="44">
        <f t="shared" si="14"/>
        <v>0</v>
      </c>
      <c r="R40" s="68">
        <f t="shared" si="8"/>
        <v>0</v>
      </c>
      <c r="S40" s="51"/>
    </row>
    <row r="41" spans="1:19" ht="15.75" customHeight="1">
      <c r="A41" s="23">
        <v>30</v>
      </c>
      <c r="B41" s="43">
        <f t="shared" si="1"/>
        <v>0</v>
      </c>
      <c r="C41" s="123">
        <f t="shared" si="5"/>
        <v>0</v>
      </c>
      <c r="D41" s="43">
        <f t="shared" si="6"/>
        <v>0</v>
      </c>
      <c r="E41" s="68">
        <f t="shared" si="7"/>
        <v>0</v>
      </c>
      <c r="F41" s="51"/>
      <c r="G41" s="4195"/>
      <c r="H41" s="22" t="s">
        <v>22</v>
      </c>
      <c r="I41" s="43">
        <f>IF($B$8=12,B41,IF($B$8=4,0,IF($B$8=6,0,IF($B$8=3,0,0))))</f>
        <v>0</v>
      </c>
      <c r="J41" s="43">
        <f>IF($B$8=12,C41,IF($B$8=4,0,IF($B$8=6,0,IF($B$8=3,0,0))))</f>
        <v>0</v>
      </c>
      <c r="K41" s="68">
        <f>IF($B$8=12,D41,IF($B$8=4,0,IF($B$8=6,0,IF($B$8=3,0,0))))</f>
        <v>0</v>
      </c>
      <c r="M41" s="4195"/>
      <c r="N41" s="9" t="s">
        <v>22</v>
      </c>
      <c r="O41" s="43">
        <f t="shared" si="12"/>
        <v>0</v>
      </c>
      <c r="P41" s="43">
        <f t="shared" si="13"/>
        <v>0</v>
      </c>
      <c r="Q41" s="44">
        <f t="shared" si="14"/>
        <v>0</v>
      </c>
      <c r="R41" s="68">
        <f t="shared" si="8"/>
        <v>0</v>
      </c>
      <c r="S41" s="51"/>
    </row>
    <row r="42" spans="1:19" ht="15.75" customHeight="1">
      <c r="A42" s="23">
        <v>31</v>
      </c>
      <c r="B42" s="43">
        <f t="shared" si="1"/>
        <v>0</v>
      </c>
      <c r="C42" s="123">
        <f t="shared" si="5"/>
        <v>0</v>
      </c>
      <c r="D42" s="43">
        <f t="shared" si="6"/>
        <v>0</v>
      </c>
      <c r="E42" s="68">
        <f t="shared" si="7"/>
        <v>0</v>
      </c>
      <c r="F42" s="51"/>
      <c r="G42" s="4195"/>
      <c r="H42" s="22" t="s">
        <v>23</v>
      </c>
      <c r="I42" s="43">
        <f>IF($B$8=12,B42,IF($B$8=4,B22,IF($B$8=6,B27,IF($B$8=3,0,IF($B$8=2,B17,0)))))</f>
        <v>0</v>
      </c>
      <c r="J42" s="43">
        <f>IF($B$8=12,C42,IF($B$8=4,C22,IF($B$8=6,C27,IF($B$8=3,0,IF($B$8=2,C17,0)))))</f>
        <v>0</v>
      </c>
      <c r="K42" s="68">
        <f>IF($B$8=12,D42,IF($B$8=4,D22,IF($B$8=6,D27,IF($B$8=3,0,IF($B$8=2,D17,0)))))</f>
        <v>0</v>
      </c>
      <c r="M42" s="4195"/>
      <c r="N42" s="9" t="s">
        <v>23</v>
      </c>
      <c r="O42" s="43">
        <f t="shared" si="12"/>
        <v>0</v>
      </c>
      <c r="P42" s="43">
        <f t="shared" si="13"/>
        <v>0</v>
      </c>
      <c r="Q42" s="44">
        <f t="shared" si="14"/>
        <v>0</v>
      </c>
      <c r="R42" s="68">
        <f t="shared" si="8"/>
        <v>0</v>
      </c>
      <c r="S42" s="51"/>
    </row>
    <row r="43" spans="1:19" ht="15.75" customHeight="1">
      <c r="A43" s="23">
        <v>32</v>
      </c>
      <c r="B43" s="43">
        <f t="shared" si="1"/>
        <v>0</v>
      </c>
      <c r="C43" s="123">
        <f t="shared" si="5"/>
        <v>0</v>
      </c>
      <c r="D43" s="43">
        <f t="shared" si="6"/>
        <v>0</v>
      </c>
      <c r="E43" s="68">
        <f t="shared" si="7"/>
        <v>0</v>
      </c>
      <c r="F43" s="51"/>
      <c r="G43" s="4195"/>
      <c r="H43" s="22" t="s">
        <v>24</v>
      </c>
      <c r="I43" s="43">
        <f>IF($B$8=12,B43,IF($B$8=4,0,IF($B$8=6,0,IF($B$8=3,0,0))))</f>
        <v>0</v>
      </c>
      <c r="J43" s="43">
        <f>IF($B$8=12,C43,IF($B$8=4,0,IF($B$8=6,0,IF($B$8=3,0,0))))</f>
        <v>0</v>
      </c>
      <c r="K43" s="68">
        <f>IF($B$8=12,D43,IF($B$8=4,0,IF($B$8=6,0,IF($B$8=3,0,0))))</f>
        <v>0</v>
      </c>
      <c r="M43" s="4195"/>
      <c r="N43" s="9" t="s">
        <v>24</v>
      </c>
      <c r="O43" s="43">
        <f t="shared" si="12"/>
        <v>0</v>
      </c>
      <c r="P43" s="43">
        <f t="shared" si="13"/>
        <v>0</v>
      </c>
      <c r="Q43" s="44">
        <f t="shared" si="14"/>
        <v>0</v>
      </c>
      <c r="R43" s="68">
        <f t="shared" si="8"/>
        <v>0</v>
      </c>
      <c r="S43" s="51"/>
    </row>
    <row r="44" spans="1:19" ht="15.75" customHeight="1">
      <c r="A44" s="23">
        <v>33</v>
      </c>
      <c r="B44" s="43">
        <f t="shared" ref="B44:B71" si="15">IF(A44&gt;$I$9,IF(E43&gt;1,PMT($B$6/$B$8,$B$7*$B$8,-$B$5),0),0)</f>
        <v>0</v>
      </c>
      <c r="C44" s="123">
        <f t="shared" si="5"/>
        <v>0</v>
      </c>
      <c r="D44" s="43">
        <f t="shared" si="6"/>
        <v>0</v>
      </c>
      <c r="E44" s="68">
        <f t="shared" si="7"/>
        <v>0</v>
      </c>
      <c r="F44" s="51"/>
      <c r="G44" s="4195"/>
      <c r="H44" s="22" t="s">
        <v>25</v>
      </c>
      <c r="I44" s="43">
        <f>IF($B$8=12,B44,IF($B$8=4,0,IF($B$8=6,B28,IF($B$8=3,B20,0))))</f>
        <v>0</v>
      </c>
      <c r="J44" s="43">
        <f>IF($B$8=12,C44,IF($B$8=4,0,IF($B$8=6,C28,IF($B$8=3,C20,0))))</f>
        <v>0</v>
      </c>
      <c r="K44" s="68">
        <f>IF($B$8=12,D44,IF($B$8=4,0,IF($B$8=6,D28,IF($B$8=3,D20,0))))</f>
        <v>0</v>
      </c>
      <c r="M44" s="4195"/>
      <c r="N44" s="9" t="s">
        <v>25</v>
      </c>
      <c r="O44" s="43">
        <f t="shared" si="12"/>
        <v>0</v>
      </c>
      <c r="P44" s="43">
        <f t="shared" si="13"/>
        <v>0</v>
      </c>
      <c r="Q44" s="44">
        <f t="shared" si="14"/>
        <v>0</v>
      </c>
      <c r="R44" s="68">
        <f t="shared" si="8"/>
        <v>0</v>
      </c>
      <c r="S44" s="51"/>
    </row>
    <row r="45" spans="1:19" ht="15.75" customHeight="1">
      <c r="A45" s="23">
        <v>34</v>
      </c>
      <c r="B45" s="43">
        <f t="shared" si="15"/>
        <v>0</v>
      </c>
      <c r="C45" s="123">
        <f t="shared" si="5"/>
        <v>0</v>
      </c>
      <c r="D45" s="43">
        <f t="shared" ref="D45:D71" si="16">IF(A45&gt;$I$9,B45-(E44*($B$6/$B$8)),0)</f>
        <v>0</v>
      </c>
      <c r="E45" s="68">
        <f t="shared" ref="E45:E71" si="17">IF((E44-D45)&gt;0,E44-D45,0)</f>
        <v>0</v>
      </c>
      <c r="F45" s="51"/>
      <c r="G45" s="4195"/>
      <c r="H45" s="22" t="s">
        <v>26</v>
      </c>
      <c r="I45" s="43">
        <f>IF($B$8=12,B45,IF($B$8=4,B23,IF($B$8=6,0,IF($B$8=3,0,0))))</f>
        <v>0</v>
      </c>
      <c r="J45" s="43">
        <f>IF($B$8=12,C45,IF($B$8=4,C23,IF($B$8=6,0,IF($B$8=3,0,0))))</f>
        <v>0</v>
      </c>
      <c r="K45" s="68">
        <f>IF($B$8=12,D45,IF($B$8=4,D23,IF($B$8=6,0,IF($B$8=3,0,0))))</f>
        <v>0</v>
      </c>
      <c r="M45" s="4195"/>
      <c r="N45" s="9" t="s">
        <v>26</v>
      </c>
      <c r="O45" s="43">
        <f t="shared" si="12"/>
        <v>0</v>
      </c>
      <c r="P45" s="43">
        <f t="shared" si="13"/>
        <v>0</v>
      </c>
      <c r="Q45" s="44">
        <f t="shared" si="14"/>
        <v>0</v>
      </c>
      <c r="R45" s="68">
        <f t="shared" si="8"/>
        <v>0</v>
      </c>
      <c r="S45" s="51"/>
    </row>
    <row r="46" spans="1:19" ht="15.75" customHeight="1">
      <c r="A46" s="23">
        <v>35</v>
      </c>
      <c r="B46" s="43">
        <f t="shared" si="15"/>
        <v>0</v>
      </c>
      <c r="C46" s="123">
        <f t="shared" si="5"/>
        <v>0</v>
      </c>
      <c r="D46" s="43">
        <f t="shared" si="16"/>
        <v>0</v>
      </c>
      <c r="E46" s="68">
        <f t="shared" si="17"/>
        <v>0</v>
      </c>
      <c r="F46" s="51"/>
      <c r="G46" s="4195"/>
      <c r="H46" s="22" t="s">
        <v>27</v>
      </c>
      <c r="I46" s="43">
        <f>IF($B$8=12,B46,IF($B$8=4,0,IF($B$8=6,B29,IF($B$8=3,0,0))))</f>
        <v>0</v>
      </c>
      <c r="J46" s="43">
        <f>IF($B$8=12,C46,IF($B$8=4,0,IF($B$8=6,C29,IF($B$8=3,0,0))))</f>
        <v>0</v>
      </c>
      <c r="K46" s="68">
        <f>IF($B$8=12,D46,IF($B$8=4,0,IF($B$8=6,D29,IF($B$8=3,0,0))))</f>
        <v>0</v>
      </c>
      <c r="M46" s="4195"/>
      <c r="N46" s="9" t="s">
        <v>27</v>
      </c>
      <c r="O46" s="43">
        <f t="shared" si="12"/>
        <v>0</v>
      </c>
      <c r="P46" s="43">
        <f t="shared" si="13"/>
        <v>0</v>
      </c>
      <c r="Q46" s="44">
        <f t="shared" si="14"/>
        <v>0</v>
      </c>
      <c r="R46" s="68">
        <f t="shared" si="8"/>
        <v>0</v>
      </c>
      <c r="S46" s="51"/>
    </row>
    <row r="47" spans="1:19" ht="15.75" customHeight="1" thickBot="1">
      <c r="A47" s="24">
        <v>36</v>
      </c>
      <c r="B47" s="70">
        <f t="shared" si="15"/>
        <v>0</v>
      </c>
      <c r="C47" s="139">
        <f t="shared" si="5"/>
        <v>0</v>
      </c>
      <c r="D47" s="70">
        <f t="shared" si="16"/>
        <v>0</v>
      </c>
      <c r="E47" s="75">
        <f t="shared" si="17"/>
        <v>0</v>
      </c>
      <c r="F47" s="243">
        <f>SUM(D36:D47)</f>
        <v>0</v>
      </c>
      <c r="G47" s="4196"/>
      <c r="H47" s="25" t="s">
        <v>28</v>
      </c>
      <c r="I47" s="70">
        <f>IF($B$8=12,B47,IF($B$8=4,0,IF($B$8=6,0,IF($B$8=3,0,0))))</f>
        <v>0</v>
      </c>
      <c r="J47" s="70">
        <f>IF($B$8=12,C47,IF($B$8=4,0,IF($B$8=6,0,IF($B$8=3,0,0))))</f>
        <v>0</v>
      </c>
      <c r="K47" s="72">
        <f>IF($B$8=12,D47,IF($B$8=4,0,IF($B$8=6,0,IF($B$8=3,0,0))))</f>
        <v>0</v>
      </c>
      <c r="M47" s="4196"/>
      <c r="N47" s="35" t="s">
        <v>28</v>
      </c>
      <c r="O47" s="45">
        <f t="shared" si="12"/>
        <v>0</v>
      </c>
      <c r="P47" s="45">
        <f t="shared" si="13"/>
        <v>0</v>
      </c>
      <c r="Q47" s="46">
        <f t="shared" si="14"/>
        <v>0</v>
      </c>
      <c r="R47" s="75">
        <f t="shared" si="8"/>
        <v>0</v>
      </c>
      <c r="S47" s="1100">
        <f>SUM(Q36:Q47)</f>
        <v>0</v>
      </c>
    </row>
    <row r="48" spans="1:19" ht="15.75" customHeight="1">
      <c r="A48" s="23">
        <v>37</v>
      </c>
      <c r="B48" s="43">
        <f t="shared" si="15"/>
        <v>0</v>
      </c>
      <c r="C48" s="123">
        <f t="shared" si="5"/>
        <v>0</v>
      </c>
      <c r="D48" s="43">
        <f t="shared" si="16"/>
        <v>0</v>
      </c>
      <c r="E48" s="68">
        <f t="shared" si="17"/>
        <v>0</v>
      </c>
      <c r="F48" s="51"/>
      <c r="G48" s="4194">
        <f>G36+1</f>
        <v>3</v>
      </c>
      <c r="H48" s="22" t="s">
        <v>17</v>
      </c>
      <c r="I48" s="43">
        <f>IF($B$8=12,B48,IF($B$8=4,B24,IF($B$8=6,B30,IF($B$8=3,B21,IF($B$8=2,B18,IF($B$8=1,B15,0))))))</f>
        <v>0</v>
      </c>
      <c r="J48" s="43">
        <f>IF($B$8=12,C48,IF($B$8=4,C24,IF($B$8=6,C30,IF($B$8=3,C21,IF($B$8=2,C18,IF($B$8=1,C15,0))))))</f>
        <v>0</v>
      </c>
      <c r="K48" s="68">
        <f>IF($B$8=12,D48,IF($B$8=4,D24,IF($B$8=6,D30,IF($B$8=3,D21,IF($B$8=2,D18,IF($B$8=1,D15,0))))))</f>
        <v>0</v>
      </c>
      <c r="M48" s="4194">
        <f>M12+3</f>
        <v>3</v>
      </c>
      <c r="N48" s="9" t="s">
        <v>17</v>
      </c>
      <c r="O48" s="76">
        <f t="shared" ref="O48:O59" si="18">IF($I$6=4,I12,IF($I$6=3,I24,IF($I$6=2,I36,IF($I$6=1,I48,0))))</f>
        <v>0</v>
      </c>
      <c r="P48" s="76">
        <f t="shared" ref="P48:P59" si="19">IF($I$6=4,J12,IF($I$6=3,J24,IF($I$6=2,J36,IF($I$6=1,J48,0))))</f>
        <v>0</v>
      </c>
      <c r="Q48" s="77">
        <f t="shared" ref="Q48:Q59" si="20">IF($I$6=4,K12,IF($I$6=3,K24,IF($I$6=2,K36,IF($I$6=1,K48,0))))</f>
        <v>0</v>
      </c>
      <c r="R48" s="68">
        <f t="shared" si="8"/>
        <v>0</v>
      </c>
      <c r="S48" s="51"/>
    </row>
    <row r="49" spans="1:19" ht="15.75" customHeight="1">
      <c r="A49" s="23">
        <v>38</v>
      </c>
      <c r="B49" s="43">
        <f t="shared" si="15"/>
        <v>0</v>
      </c>
      <c r="C49" s="123">
        <f t="shared" si="5"/>
        <v>0</v>
      </c>
      <c r="D49" s="43">
        <f t="shared" si="16"/>
        <v>0</v>
      </c>
      <c r="E49" s="68">
        <f t="shared" si="17"/>
        <v>0</v>
      </c>
      <c r="F49" s="51"/>
      <c r="G49" s="4195"/>
      <c r="H49" s="22" t="s">
        <v>18</v>
      </c>
      <c r="I49" s="43">
        <f>IF($B$8=12,B49,0)</f>
        <v>0</v>
      </c>
      <c r="J49" s="43">
        <f>IF($B$8=12,C49,0)</f>
        <v>0</v>
      </c>
      <c r="K49" s="68">
        <f>IF($B$8=12,D49,0)</f>
        <v>0</v>
      </c>
      <c r="M49" s="4195"/>
      <c r="N49" s="9" t="s">
        <v>18</v>
      </c>
      <c r="O49" s="43">
        <f t="shared" si="18"/>
        <v>0</v>
      </c>
      <c r="P49" s="43">
        <f t="shared" si="19"/>
        <v>0</v>
      </c>
      <c r="Q49" s="44">
        <f t="shared" si="20"/>
        <v>0</v>
      </c>
      <c r="R49" s="68">
        <f t="shared" si="8"/>
        <v>0</v>
      </c>
      <c r="S49" s="51"/>
    </row>
    <row r="50" spans="1:19" ht="15.75" customHeight="1">
      <c r="A50" s="23">
        <v>39</v>
      </c>
      <c r="B50" s="43">
        <f t="shared" si="15"/>
        <v>0</v>
      </c>
      <c r="C50" s="123">
        <f t="shared" si="5"/>
        <v>0</v>
      </c>
      <c r="D50" s="43">
        <f t="shared" si="16"/>
        <v>0</v>
      </c>
      <c r="E50" s="68">
        <f t="shared" si="17"/>
        <v>0</v>
      </c>
      <c r="F50" s="51"/>
      <c r="G50" s="4195"/>
      <c r="H50" s="22" t="s">
        <v>19</v>
      </c>
      <c r="I50" s="43">
        <f>IF($B$8=12,B50,IF($B$8=6,B31,0))</f>
        <v>0</v>
      </c>
      <c r="J50" s="43">
        <f>IF($B$8=12,C50,IF($B$8=6,C31,0))</f>
        <v>0</v>
      </c>
      <c r="K50" s="68">
        <f>IF($B$8=12,D50,IF($B$8=6,D31,0))</f>
        <v>0</v>
      </c>
      <c r="M50" s="4195"/>
      <c r="N50" s="9" t="s">
        <v>19</v>
      </c>
      <c r="O50" s="43">
        <f t="shared" si="18"/>
        <v>0</v>
      </c>
      <c r="P50" s="43">
        <f t="shared" si="19"/>
        <v>0</v>
      </c>
      <c r="Q50" s="44">
        <f t="shared" si="20"/>
        <v>0</v>
      </c>
      <c r="R50" s="68">
        <f t="shared" si="8"/>
        <v>0</v>
      </c>
      <c r="S50" s="51"/>
    </row>
    <row r="51" spans="1:19" ht="15.75" customHeight="1">
      <c r="A51" s="23">
        <v>40</v>
      </c>
      <c r="B51" s="43">
        <f t="shared" si="15"/>
        <v>0</v>
      </c>
      <c r="C51" s="123">
        <f t="shared" si="5"/>
        <v>0</v>
      </c>
      <c r="D51" s="43">
        <f t="shared" si="16"/>
        <v>0</v>
      </c>
      <c r="E51" s="68">
        <f t="shared" si="17"/>
        <v>0</v>
      </c>
      <c r="F51" s="51"/>
      <c r="G51" s="4195"/>
      <c r="H51" s="22" t="s">
        <v>20</v>
      </c>
      <c r="I51" s="43">
        <f>IF($B$8=12,B51,IF($B$8=4,B25,IF($B$8=6,0,IF($B$8=3,0,0))))</f>
        <v>0</v>
      </c>
      <c r="J51" s="43">
        <f>IF($B$8=12,C51,IF($B$8=4,C25,IF($B$8=6,0,IF($B$8=3,0,0))))</f>
        <v>0</v>
      </c>
      <c r="K51" s="68">
        <f>IF($B$8=12,D51,IF($B$8=4,D25,IF($B$8=6,0,IF($B$8=3,0,0))))</f>
        <v>0</v>
      </c>
      <c r="M51" s="4195"/>
      <c r="N51" s="9" t="s">
        <v>20</v>
      </c>
      <c r="O51" s="43">
        <f t="shared" si="18"/>
        <v>0</v>
      </c>
      <c r="P51" s="43">
        <f t="shared" si="19"/>
        <v>0</v>
      </c>
      <c r="Q51" s="44">
        <f t="shared" si="20"/>
        <v>0</v>
      </c>
      <c r="R51" s="68">
        <f t="shared" si="8"/>
        <v>0</v>
      </c>
      <c r="S51" s="51"/>
    </row>
    <row r="52" spans="1:19" ht="15.75" customHeight="1">
      <c r="A52" s="23">
        <v>41</v>
      </c>
      <c r="B52" s="43">
        <f t="shared" si="15"/>
        <v>0</v>
      </c>
      <c r="C52" s="123">
        <f t="shared" si="5"/>
        <v>0</v>
      </c>
      <c r="D52" s="43">
        <f t="shared" si="16"/>
        <v>0</v>
      </c>
      <c r="E52" s="68">
        <f t="shared" si="17"/>
        <v>0</v>
      </c>
      <c r="F52" s="51"/>
      <c r="G52" s="4195"/>
      <c r="H52" s="22" t="s">
        <v>21</v>
      </c>
      <c r="I52" s="43">
        <f>IF($B$8=12,B52,IF($B$8=4,0,IF($B$8=6,B32,IF($B$8=3,B22,0))))</f>
        <v>0</v>
      </c>
      <c r="J52" s="43">
        <f>IF($B$8=12,C52,IF($B$8=4,0,IF($B$8=6,C32,IF($B$8=3,C22,0))))</f>
        <v>0</v>
      </c>
      <c r="K52" s="68">
        <f>IF($B$8=12,D52,IF($B$8=4,0,IF($B$8=6,D32,IF($B$8=3,D22,0))))</f>
        <v>0</v>
      </c>
      <c r="M52" s="4195"/>
      <c r="N52" s="9" t="s">
        <v>21</v>
      </c>
      <c r="O52" s="43">
        <f t="shared" si="18"/>
        <v>0</v>
      </c>
      <c r="P52" s="43">
        <f t="shared" si="19"/>
        <v>0</v>
      </c>
      <c r="Q52" s="44">
        <f t="shared" si="20"/>
        <v>0</v>
      </c>
      <c r="R52" s="68">
        <f t="shared" si="8"/>
        <v>0</v>
      </c>
      <c r="S52" s="51"/>
    </row>
    <row r="53" spans="1:19" ht="15.75" customHeight="1">
      <c r="A53" s="23">
        <v>42</v>
      </c>
      <c r="B53" s="43">
        <f t="shared" si="15"/>
        <v>0</v>
      </c>
      <c r="C53" s="123">
        <f t="shared" si="5"/>
        <v>0</v>
      </c>
      <c r="D53" s="43">
        <f t="shared" si="16"/>
        <v>0</v>
      </c>
      <c r="E53" s="68">
        <f t="shared" si="17"/>
        <v>0</v>
      </c>
      <c r="F53" s="51"/>
      <c r="G53" s="4195"/>
      <c r="H53" s="22" t="s">
        <v>22</v>
      </c>
      <c r="I53" s="43">
        <f>IF($B$8=12,B53,IF($B$8=4,0,IF($B$8=6,0,IF($B$8=3,0,0))))</f>
        <v>0</v>
      </c>
      <c r="J53" s="43">
        <f>IF($B$8=12,C53,IF($B$8=4,0,IF($B$8=6,0,IF($B$8=3,0,0))))</f>
        <v>0</v>
      </c>
      <c r="K53" s="68">
        <f>IF($B$8=12,D53,IF($B$8=4,0,IF($B$8=6,0,IF($B$8=3,0,0))))</f>
        <v>0</v>
      </c>
      <c r="M53" s="4195"/>
      <c r="N53" s="9" t="s">
        <v>22</v>
      </c>
      <c r="O53" s="43">
        <f t="shared" si="18"/>
        <v>0</v>
      </c>
      <c r="P53" s="43">
        <f t="shared" si="19"/>
        <v>0</v>
      </c>
      <c r="Q53" s="44">
        <f t="shared" si="20"/>
        <v>0</v>
      </c>
      <c r="R53" s="68">
        <f t="shared" si="8"/>
        <v>0</v>
      </c>
      <c r="S53" s="51"/>
    </row>
    <row r="54" spans="1:19" ht="15.75" customHeight="1">
      <c r="A54" s="23">
        <v>43</v>
      </c>
      <c r="B54" s="43">
        <f t="shared" si="15"/>
        <v>0</v>
      </c>
      <c r="C54" s="123">
        <f t="shared" si="5"/>
        <v>0</v>
      </c>
      <c r="D54" s="43">
        <f t="shared" si="16"/>
        <v>0</v>
      </c>
      <c r="E54" s="68">
        <f t="shared" si="17"/>
        <v>0</v>
      </c>
      <c r="F54" s="51"/>
      <c r="G54" s="4195"/>
      <c r="H54" s="22" t="s">
        <v>23</v>
      </c>
      <c r="I54" s="43">
        <f>IF($B$8=12,B54,IF($B$8=4,B26,IF($B$8=6,B33,IF($B$8=3,0,IF($B$8=2,B19,0)))))</f>
        <v>0</v>
      </c>
      <c r="J54" s="43">
        <f>IF($B$8=12,C54,IF($B$8=4,C26,IF($B$8=6,C33,IF($B$8=3,0,IF($B$8=2,C19,0)))))</f>
        <v>0</v>
      </c>
      <c r="K54" s="68">
        <f>IF($B$8=12,D54,IF($B$8=4,D26,IF($B$8=6,D33,IF($B$8=3,0,IF($B$8=2,D19,0)))))</f>
        <v>0</v>
      </c>
      <c r="M54" s="4195"/>
      <c r="N54" s="9" t="s">
        <v>23</v>
      </c>
      <c r="O54" s="43">
        <f t="shared" si="18"/>
        <v>0</v>
      </c>
      <c r="P54" s="43">
        <f t="shared" si="19"/>
        <v>0</v>
      </c>
      <c r="Q54" s="44">
        <f t="shared" si="20"/>
        <v>0</v>
      </c>
      <c r="R54" s="68">
        <f t="shared" si="8"/>
        <v>0</v>
      </c>
      <c r="S54" s="51"/>
    </row>
    <row r="55" spans="1:19" ht="15.75" customHeight="1">
      <c r="A55" s="23">
        <v>44</v>
      </c>
      <c r="B55" s="43">
        <f t="shared" si="15"/>
        <v>0</v>
      </c>
      <c r="C55" s="123">
        <f t="shared" si="5"/>
        <v>0</v>
      </c>
      <c r="D55" s="43">
        <f t="shared" si="16"/>
        <v>0</v>
      </c>
      <c r="E55" s="68">
        <f t="shared" si="17"/>
        <v>0</v>
      </c>
      <c r="F55" s="51"/>
      <c r="G55" s="4195"/>
      <c r="H55" s="22" t="s">
        <v>24</v>
      </c>
      <c r="I55" s="43">
        <f>IF($B$8=12,B55,IF($B$8=4,0,IF($B$8=6,0,IF($B$8=3,0,0))))</f>
        <v>0</v>
      </c>
      <c r="J55" s="43">
        <f>IF($B$8=12,C55,IF($B$8=4,0,IF($B$8=6,0,IF($B$8=3,0,0))))</f>
        <v>0</v>
      </c>
      <c r="K55" s="68">
        <f>IF($B$8=12,D55,IF($B$8=4,0,IF($B$8=6,0,IF($B$8=3,0,0))))</f>
        <v>0</v>
      </c>
      <c r="M55" s="4195"/>
      <c r="N55" s="9" t="s">
        <v>24</v>
      </c>
      <c r="O55" s="43">
        <f t="shared" si="18"/>
        <v>0</v>
      </c>
      <c r="P55" s="43">
        <f t="shared" si="19"/>
        <v>0</v>
      </c>
      <c r="Q55" s="44">
        <f t="shared" si="20"/>
        <v>0</v>
      </c>
      <c r="R55" s="68">
        <f t="shared" si="8"/>
        <v>0</v>
      </c>
      <c r="S55" s="51"/>
    </row>
    <row r="56" spans="1:19" ht="15.75" customHeight="1">
      <c r="A56" s="23">
        <v>45</v>
      </c>
      <c r="B56" s="43">
        <f t="shared" si="15"/>
        <v>0</v>
      </c>
      <c r="C56" s="123">
        <f t="shared" si="5"/>
        <v>0</v>
      </c>
      <c r="D56" s="43">
        <f t="shared" si="16"/>
        <v>0</v>
      </c>
      <c r="E56" s="68">
        <f t="shared" si="17"/>
        <v>0</v>
      </c>
      <c r="F56" s="51"/>
      <c r="G56" s="4195"/>
      <c r="H56" s="22" t="s">
        <v>25</v>
      </c>
      <c r="I56" s="43">
        <f>IF($B$8=12,B56,IF($B$8=4,0,IF($B$8=6,B34,IF($B$8=3,B23,0))))</f>
        <v>0</v>
      </c>
      <c r="J56" s="43">
        <f>IF($B$8=12,C56,IF($B$8=4,0,IF($B$8=6,C34,IF($B$8=3,C23,0))))</f>
        <v>0</v>
      </c>
      <c r="K56" s="68">
        <f>IF($B$8=12,D56,IF($B$8=4,0,IF($B$8=6,D34,IF($B$8=3,D23,0))))</f>
        <v>0</v>
      </c>
      <c r="M56" s="4195"/>
      <c r="N56" s="9" t="s">
        <v>25</v>
      </c>
      <c r="O56" s="43">
        <f t="shared" si="18"/>
        <v>0</v>
      </c>
      <c r="P56" s="43">
        <f t="shared" si="19"/>
        <v>0</v>
      </c>
      <c r="Q56" s="44">
        <f t="shared" si="20"/>
        <v>0</v>
      </c>
      <c r="R56" s="68">
        <f t="shared" si="8"/>
        <v>0</v>
      </c>
      <c r="S56" s="51"/>
    </row>
    <row r="57" spans="1:19" ht="15.75" customHeight="1">
      <c r="A57" s="23">
        <v>46</v>
      </c>
      <c r="B57" s="43">
        <f t="shared" si="15"/>
        <v>0</v>
      </c>
      <c r="C57" s="123">
        <f t="shared" si="5"/>
        <v>0</v>
      </c>
      <c r="D57" s="43">
        <f t="shared" si="16"/>
        <v>0</v>
      </c>
      <c r="E57" s="68">
        <f t="shared" si="17"/>
        <v>0</v>
      </c>
      <c r="F57" s="51"/>
      <c r="G57" s="4195"/>
      <c r="H57" s="22" t="s">
        <v>26</v>
      </c>
      <c r="I57" s="43">
        <f>IF($B$8=12,B57,IF($B$8=4,B27,IF($B$8=6,0,IF($B$8=3,0,0))))</f>
        <v>0</v>
      </c>
      <c r="J57" s="43">
        <f>IF($B$8=12,C57,IF($B$8=4,C27,IF($B$8=6,0,IF($B$8=3,0,0))))</f>
        <v>0</v>
      </c>
      <c r="K57" s="68">
        <f>IF($B$8=12,D57,IF($B$8=4,D27,IF($B$8=6,0,IF($B$8=3,0,0))))</f>
        <v>0</v>
      </c>
      <c r="M57" s="4195"/>
      <c r="N57" s="9" t="s">
        <v>26</v>
      </c>
      <c r="O57" s="43">
        <f t="shared" si="18"/>
        <v>0</v>
      </c>
      <c r="P57" s="43">
        <f t="shared" si="19"/>
        <v>0</v>
      </c>
      <c r="Q57" s="44">
        <f t="shared" si="20"/>
        <v>0</v>
      </c>
      <c r="R57" s="68">
        <f t="shared" si="8"/>
        <v>0</v>
      </c>
      <c r="S57" s="51"/>
    </row>
    <row r="58" spans="1:19" ht="15.75" customHeight="1">
      <c r="A58" s="23">
        <v>47</v>
      </c>
      <c r="B58" s="43">
        <f t="shared" si="15"/>
        <v>0</v>
      </c>
      <c r="C58" s="123">
        <f t="shared" si="5"/>
        <v>0</v>
      </c>
      <c r="D58" s="43">
        <f t="shared" si="16"/>
        <v>0</v>
      </c>
      <c r="E58" s="68">
        <f t="shared" si="17"/>
        <v>0</v>
      </c>
      <c r="F58" s="51"/>
      <c r="G58" s="4195"/>
      <c r="H58" s="22" t="s">
        <v>27</v>
      </c>
      <c r="I58" s="43">
        <f>IF($B$8=12,B58,IF($B$8=4,0,IF($B$8=6,B35,IF($B$8=3,0,0))))</f>
        <v>0</v>
      </c>
      <c r="J58" s="43">
        <f>IF($B$8=12,C58,IF($B$8=4,0,IF($B$8=6,C35,IF($B$8=3,0,0))))</f>
        <v>0</v>
      </c>
      <c r="K58" s="68">
        <f>IF($B$8=12,D58,IF($B$8=4,0,IF($B$8=6,D35,IF($B$8=3,0,0))))</f>
        <v>0</v>
      </c>
      <c r="M58" s="4195"/>
      <c r="N58" s="9" t="s">
        <v>27</v>
      </c>
      <c r="O58" s="43">
        <f t="shared" si="18"/>
        <v>0</v>
      </c>
      <c r="P58" s="43">
        <f t="shared" si="19"/>
        <v>0</v>
      </c>
      <c r="Q58" s="44">
        <f t="shared" si="20"/>
        <v>0</v>
      </c>
      <c r="R58" s="68">
        <f t="shared" si="8"/>
        <v>0</v>
      </c>
      <c r="S58" s="51"/>
    </row>
    <row r="59" spans="1:19" ht="15.75" customHeight="1" thickBot="1">
      <c r="A59" s="24">
        <v>48</v>
      </c>
      <c r="B59" s="70">
        <f t="shared" si="15"/>
        <v>0</v>
      </c>
      <c r="C59" s="139">
        <f t="shared" si="5"/>
        <v>0</v>
      </c>
      <c r="D59" s="70">
        <f t="shared" si="16"/>
        <v>0</v>
      </c>
      <c r="E59" s="75">
        <f t="shared" si="17"/>
        <v>0</v>
      </c>
      <c r="F59" s="243">
        <f>SUM(D48:D59)</f>
        <v>0</v>
      </c>
      <c r="G59" s="4196"/>
      <c r="H59" s="25" t="s">
        <v>28</v>
      </c>
      <c r="I59" s="70">
        <f>IF($B$8=12,B59,IF($B$8=4,0,IF($B$8=6,0,IF($B$8=3,0,0))))</f>
        <v>0</v>
      </c>
      <c r="J59" s="70">
        <f>IF($B$8=12,C59,IF($B$8=4,0,IF($B$8=6,0,IF($B$8=3,0,0))))</f>
        <v>0</v>
      </c>
      <c r="K59" s="72">
        <f>IF($B$8=12,D59,IF($B$8=4,0,IF($B$8=6,0,IF($B$8=3,0,0))))</f>
        <v>0</v>
      </c>
      <c r="M59" s="4196"/>
      <c r="N59" s="35" t="s">
        <v>28</v>
      </c>
      <c r="O59" s="45">
        <f t="shared" si="18"/>
        <v>0</v>
      </c>
      <c r="P59" s="45">
        <f t="shared" si="19"/>
        <v>0</v>
      </c>
      <c r="Q59" s="46">
        <f t="shared" si="20"/>
        <v>0</v>
      </c>
      <c r="R59" s="75">
        <f t="shared" si="8"/>
        <v>0</v>
      </c>
      <c r="S59" s="1100">
        <f>SUM(Q48:Q59)</f>
        <v>0</v>
      </c>
    </row>
    <row r="60" spans="1:19" ht="15.75" customHeight="1">
      <c r="A60" s="23">
        <v>49</v>
      </c>
      <c r="B60" s="43">
        <f t="shared" si="15"/>
        <v>0</v>
      </c>
      <c r="C60" s="123">
        <f t="shared" si="5"/>
        <v>0</v>
      </c>
      <c r="D60" s="43">
        <f t="shared" si="16"/>
        <v>0</v>
      </c>
      <c r="E60" s="68">
        <f t="shared" si="17"/>
        <v>0</v>
      </c>
      <c r="F60" s="51"/>
      <c r="G60" s="4194">
        <f>G48+1</f>
        <v>4</v>
      </c>
      <c r="H60" s="22" t="s">
        <v>17</v>
      </c>
      <c r="I60" s="43">
        <f>IF($B$8=12,B60,IF($B$8=4,B28,IF($B$8=6,B36,IF($B$8=3,B24,IF($B$8=2,B20,IF($B$8=1,B16,0))))))</f>
        <v>0</v>
      </c>
      <c r="J60" s="43">
        <f>IF($B$8=12,C60,IF($B$8=4,C28,IF($B$8=6,C36,IF($B$8=3,C24,IF($B$8=2,C20,IF($B$8=1,C16,0))))))</f>
        <v>0</v>
      </c>
      <c r="K60" s="68">
        <f>IF($B$8=12,D60,IF($B$8=4,D28,IF($B$8=6,D36,IF($B$8=3,D24,IF($B$8=2,D20,IF($B$8=1,D16,0))))))</f>
        <v>0</v>
      </c>
      <c r="M60" s="4194">
        <f>M12+4</f>
        <v>4</v>
      </c>
      <c r="N60" s="9" t="s">
        <v>17</v>
      </c>
      <c r="O60" s="76">
        <f t="shared" ref="O60:O71" si="21">IF($I$6=5,I12,IF($I$6=4,I24,IF($I$6=3,I36,IF($I$6=2,I48,IF($I$6=1,I60,0)))))</f>
        <v>0</v>
      </c>
      <c r="P60" s="76">
        <f t="shared" ref="P60:P71" si="22">IF($I$6=5,J12,IF($I$6=4,J24,IF($I$6=3,J36,IF($I$6=2,J48,IF($I$6=1,J60,0)))))</f>
        <v>0</v>
      </c>
      <c r="Q60" s="77">
        <f t="shared" ref="Q60:Q71" si="23">IF($I$6=5,K12,IF($I$6=4,K24,IF($I$6=3,K36,IF($I$6=2,K48,IF($I$6=1,K60,0)))))</f>
        <v>0</v>
      </c>
      <c r="R60" s="68">
        <f t="shared" si="8"/>
        <v>0</v>
      </c>
      <c r="S60" s="51"/>
    </row>
    <row r="61" spans="1:19" ht="15.75" customHeight="1">
      <c r="A61" s="23">
        <v>50</v>
      </c>
      <c r="B61" s="43">
        <f t="shared" si="15"/>
        <v>0</v>
      </c>
      <c r="C61" s="123">
        <f t="shared" si="5"/>
        <v>0</v>
      </c>
      <c r="D61" s="43">
        <f t="shared" si="16"/>
        <v>0</v>
      </c>
      <c r="E61" s="68">
        <f t="shared" si="17"/>
        <v>0</v>
      </c>
      <c r="F61" s="51"/>
      <c r="G61" s="4195"/>
      <c r="H61" s="22" t="s">
        <v>18</v>
      </c>
      <c r="I61" s="43">
        <f>IF($B$8=12,B61,0)</f>
        <v>0</v>
      </c>
      <c r="J61" s="43">
        <f>IF($B$8=12,C61,0)</f>
        <v>0</v>
      </c>
      <c r="K61" s="68">
        <f>IF($B$8=12,D61,0)</f>
        <v>0</v>
      </c>
      <c r="M61" s="4195"/>
      <c r="N61" s="9" t="s">
        <v>18</v>
      </c>
      <c r="O61" s="43">
        <f t="shared" si="21"/>
        <v>0</v>
      </c>
      <c r="P61" s="43">
        <f t="shared" si="22"/>
        <v>0</v>
      </c>
      <c r="Q61" s="44">
        <f t="shared" si="23"/>
        <v>0</v>
      </c>
      <c r="R61" s="68">
        <f t="shared" si="8"/>
        <v>0</v>
      </c>
      <c r="S61" s="51"/>
    </row>
    <row r="62" spans="1:19" ht="15.75" customHeight="1">
      <c r="A62" s="23">
        <v>51</v>
      </c>
      <c r="B62" s="43">
        <f t="shared" si="15"/>
        <v>0</v>
      </c>
      <c r="C62" s="123">
        <f t="shared" si="5"/>
        <v>0</v>
      </c>
      <c r="D62" s="43">
        <f t="shared" si="16"/>
        <v>0</v>
      </c>
      <c r="E62" s="68">
        <f t="shared" si="17"/>
        <v>0</v>
      </c>
      <c r="F62" s="51"/>
      <c r="G62" s="4195"/>
      <c r="H62" s="22" t="s">
        <v>19</v>
      </c>
      <c r="I62" s="43">
        <f>IF($B$8=12,B62,IF($B$8=6,B37,0))</f>
        <v>0</v>
      </c>
      <c r="J62" s="43">
        <f>IF($B$8=12,C62,IF($B$8=6,C37,0))</f>
        <v>0</v>
      </c>
      <c r="K62" s="68">
        <f>IF($B$8=12,D62,IF($B$8=6,D37,0))</f>
        <v>0</v>
      </c>
      <c r="M62" s="4195"/>
      <c r="N62" s="9" t="s">
        <v>19</v>
      </c>
      <c r="O62" s="43">
        <f t="shared" si="21"/>
        <v>0</v>
      </c>
      <c r="P62" s="43">
        <f t="shared" si="22"/>
        <v>0</v>
      </c>
      <c r="Q62" s="44">
        <f t="shared" si="23"/>
        <v>0</v>
      </c>
      <c r="R62" s="68">
        <f t="shared" si="8"/>
        <v>0</v>
      </c>
      <c r="S62" s="51"/>
    </row>
    <row r="63" spans="1:19" ht="15.75" customHeight="1">
      <c r="A63" s="23">
        <v>52</v>
      </c>
      <c r="B63" s="43">
        <f t="shared" si="15"/>
        <v>0</v>
      </c>
      <c r="C63" s="123">
        <f t="shared" si="5"/>
        <v>0</v>
      </c>
      <c r="D63" s="43">
        <f t="shared" si="16"/>
        <v>0</v>
      </c>
      <c r="E63" s="68">
        <f t="shared" si="17"/>
        <v>0</v>
      </c>
      <c r="F63" s="51"/>
      <c r="G63" s="4195"/>
      <c r="H63" s="22" t="s">
        <v>20</v>
      </c>
      <c r="I63" s="43">
        <f>IF($B$8=12,B63,IF($B$8=4,B29,IF($B$8=6,0,IF($B$8=3,0,0))))</f>
        <v>0</v>
      </c>
      <c r="J63" s="43">
        <f>IF($B$8=12,C63,IF($B$8=4,C29,IF($B$8=6,0,IF($B$8=3,0,0))))</f>
        <v>0</v>
      </c>
      <c r="K63" s="68">
        <f>IF($B$8=12,D63,IF($B$8=4,D29,IF($B$8=6,0,IF($B$8=3,0,0))))</f>
        <v>0</v>
      </c>
      <c r="M63" s="4195"/>
      <c r="N63" s="9" t="s">
        <v>20</v>
      </c>
      <c r="O63" s="43">
        <f t="shared" si="21"/>
        <v>0</v>
      </c>
      <c r="P63" s="43">
        <f t="shared" si="22"/>
        <v>0</v>
      </c>
      <c r="Q63" s="44">
        <f t="shared" si="23"/>
        <v>0</v>
      </c>
      <c r="R63" s="68">
        <f t="shared" si="8"/>
        <v>0</v>
      </c>
      <c r="S63" s="51"/>
    </row>
    <row r="64" spans="1:19" ht="15.75" customHeight="1">
      <c r="A64" s="23">
        <v>53</v>
      </c>
      <c r="B64" s="43">
        <f t="shared" si="15"/>
        <v>0</v>
      </c>
      <c r="C64" s="123">
        <f t="shared" si="5"/>
        <v>0</v>
      </c>
      <c r="D64" s="43">
        <f t="shared" si="16"/>
        <v>0</v>
      </c>
      <c r="E64" s="68">
        <f t="shared" si="17"/>
        <v>0</v>
      </c>
      <c r="F64" s="51"/>
      <c r="G64" s="4195"/>
      <c r="H64" s="22" t="s">
        <v>21</v>
      </c>
      <c r="I64" s="43">
        <f>IF($B$8=12,B64,IF($B$8=4,0,IF($B$8=6,B38,IF($B$8=3,B25,0))))</f>
        <v>0</v>
      </c>
      <c r="J64" s="43">
        <f>IF($B$8=12,C64,IF($B$8=4,0,IF($B$8=6,C38,IF($B$8=3,C25,0))))</f>
        <v>0</v>
      </c>
      <c r="K64" s="68">
        <f>IF($B$8=12,D64,IF($B$8=4,0,IF($B$8=6,D38,IF($B$8=3,D25,0))))</f>
        <v>0</v>
      </c>
      <c r="M64" s="4195"/>
      <c r="N64" s="9" t="s">
        <v>21</v>
      </c>
      <c r="O64" s="43">
        <f t="shared" si="21"/>
        <v>0</v>
      </c>
      <c r="P64" s="43">
        <f t="shared" si="22"/>
        <v>0</v>
      </c>
      <c r="Q64" s="44">
        <f t="shared" si="23"/>
        <v>0</v>
      </c>
      <c r="R64" s="68">
        <f t="shared" si="8"/>
        <v>0</v>
      </c>
      <c r="S64" s="51"/>
    </row>
    <row r="65" spans="1:19" ht="15.75" customHeight="1">
      <c r="A65" s="23">
        <v>54</v>
      </c>
      <c r="B65" s="43">
        <f t="shared" si="15"/>
        <v>0</v>
      </c>
      <c r="C65" s="123">
        <f t="shared" si="5"/>
        <v>0</v>
      </c>
      <c r="D65" s="43">
        <f t="shared" si="16"/>
        <v>0</v>
      </c>
      <c r="E65" s="68">
        <f t="shared" si="17"/>
        <v>0</v>
      </c>
      <c r="F65" s="51"/>
      <c r="G65" s="4195"/>
      <c r="H65" s="22" t="s">
        <v>22</v>
      </c>
      <c r="I65" s="43">
        <f>IF($B$8=12,B65,IF($B$8=4,0,IF($B$8=6,0,IF($B$8=3,0,0))))</f>
        <v>0</v>
      </c>
      <c r="J65" s="43">
        <f>IF($B$8=12,C65,IF($B$8=4,0,IF($B$8=6,0,IF($B$8=3,0,0))))</f>
        <v>0</v>
      </c>
      <c r="K65" s="68">
        <f>IF($B$8=12,D65,IF($B$8=4,0,IF($B$8=6,0,IF($B$8=3,0,0))))</f>
        <v>0</v>
      </c>
      <c r="M65" s="4195"/>
      <c r="N65" s="9" t="s">
        <v>22</v>
      </c>
      <c r="O65" s="43">
        <f t="shared" si="21"/>
        <v>0</v>
      </c>
      <c r="P65" s="43">
        <f t="shared" si="22"/>
        <v>0</v>
      </c>
      <c r="Q65" s="44">
        <f t="shared" si="23"/>
        <v>0</v>
      </c>
      <c r="R65" s="68">
        <f t="shared" si="8"/>
        <v>0</v>
      </c>
      <c r="S65" s="51"/>
    </row>
    <row r="66" spans="1:19" ht="15.75" customHeight="1">
      <c r="A66" s="23">
        <v>55</v>
      </c>
      <c r="B66" s="43">
        <f t="shared" si="15"/>
        <v>0</v>
      </c>
      <c r="C66" s="123">
        <f t="shared" si="5"/>
        <v>0</v>
      </c>
      <c r="D66" s="43">
        <f t="shared" si="16"/>
        <v>0</v>
      </c>
      <c r="E66" s="68">
        <f t="shared" si="17"/>
        <v>0</v>
      </c>
      <c r="F66" s="51"/>
      <c r="G66" s="4195"/>
      <c r="H66" s="22" t="s">
        <v>23</v>
      </c>
      <c r="I66" s="43">
        <f>IF($B$8=12,B66,IF($B$8=4,B30,IF($B$8=6,B39,IF($B$8=3,0,IF($B$8=2,B21,0)))))</f>
        <v>0</v>
      </c>
      <c r="J66" s="43">
        <f>IF($B$8=12,C66,IF($B$8=4,C30,IF($B$8=6,C39,IF($B$8=3,0,IF($B$8=2,C21,0)))))</f>
        <v>0</v>
      </c>
      <c r="K66" s="68">
        <f>IF($B$8=12,D66,IF($B$8=4,D30,IF($B$8=6,D39,IF($B$8=3,0,IF($B$8=2,D21,0)))))</f>
        <v>0</v>
      </c>
      <c r="M66" s="4195"/>
      <c r="N66" s="9" t="s">
        <v>23</v>
      </c>
      <c r="O66" s="43">
        <f t="shared" si="21"/>
        <v>0</v>
      </c>
      <c r="P66" s="43">
        <f t="shared" si="22"/>
        <v>0</v>
      </c>
      <c r="Q66" s="44">
        <f t="shared" si="23"/>
        <v>0</v>
      </c>
      <c r="R66" s="68">
        <f t="shared" si="8"/>
        <v>0</v>
      </c>
      <c r="S66" s="51"/>
    </row>
    <row r="67" spans="1:19" ht="15.75" customHeight="1">
      <c r="A67" s="23">
        <v>56</v>
      </c>
      <c r="B67" s="43">
        <f t="shared" si="15"/>
        <v>0</v>
      </c>
      <c r="C67" s="123">
        <f t="shared" si="5"/>
        <v>0</v>
      </c>
      <c r="D67" s="43">
        <f t="shared" si="16"/>
        <v>0</v>
      </c>
      <c r="E67" s="68">
        <f t="shared" si="17"/>
        <v>0</v>
      </c>
      <c r="F67" s="51"/>
      <c r="G67" s="4195"/>
      <c r="H67" s="22" t="s">
        <v>24</v>
      </c>
      <c r="I67" s="43">
        <f>IF($B$8=12,B67,IF($B$8=4,0,IF($B$8=6,0,IF($B$8=3,0,0))))</f>
        <v>0</v>
      </c>
      <c r="J67" s="43">
        <f>IF($B$8=12,C67,IF($B$8=4,0,IF($B$8=6,0,IF($B$8=3,0,0))))</f>
        <v>0</v>
      </c>
      <c r="K67" s="68">
        <f>IF($B$8=12,D67,IF($B$8=4,0,IF($B$8=6,0,IF($B$8=3,0,0))))</f>
        <v>0</v>
      </c>
      <c r="M67" s="4195"/>
      <c r="N67" s="9" t="s">
        <v>24</v>
      </c>
      <c r="O67" s="43">
        <f t="shared" si="21"/>
        <v>0</v>
      </c>
      <c r="P67" s="43">
        <f t="shared" si="22"/>
        <v>0</v>
      </c>
      <c r="Q67" s="44">
        <f t="shared" si="23"/>
        <v>0</v>
      </c>
      <c r="R67" s="68">
        <f t="shared" si="8"/>
        <v>0</v>
      </c>
      <c r="S67" s="51"/>
    </row>
    <row r="68" spans="1:19" ht="15.75" customHeight="1">
      <c r="A68" s="23">
        <v>57</v>
      </c>
      <c r="B68" s="43">
        <f t="shared" si="15"/>
        <v>0</v>
      </c>
      <c r="C68" s="123">
        <f t="shared" si="5"/>
        <v>0</v>
      </c>
      <c r="D68" s="43">
        <f t="shared" si="16"/>
        <v>0</v>
      </c>
      <c r="E68" s="68">
        <f t="shared" si="17"/>
        <v>0</v>
      </c>
      <c r="F68" s="51"/>
      <c r="G68" s="4195"/>
      <c r="H68" s="22" t="s">
        <v>25</v>
      </c>
      <c r="I68" s="43">
        <f>IF($B$8=12,B68,IF($B$8=4,0,IF($B$8=6,B40,IF($B$8=3,B26,0))))</f>
        <v>0</v>
      </c>
      <c r="J68" s="43">
        <f>IF($B$8=12,C68,IF($B$8=4,0,IF($B$8=6,C40,IF($B$8=3,C26,0))))</f>
        <v>0</v>
      </c>
      <c r="K68" s="68">
        <f>IF($B$8=12,D68,IF($B$8=4,0,IF($B$8=6,D40,IF($B$8=3,D26,0))))</f>
        <v>0</v>
      </c>
      <c r="M68" s="4195"/>
      <c r="N68" s="9" t="s">
        <v>25</v>
      </c>
      <c r="O68" s="43">
        <f t="shared" si="21"/>
        <v>0</v>
      </c>
      <c r="P68" s="43">
        <f t="shared" si="22"/>
        <v>0</v>
      </c>
      <c r="Q68" s="44">
        <f t="shared" si="23"/>
        <v>0</v>
      </c>
      <c r="R68" s="68">
        <f t="shared" si="8"/>
        <v>0</v>
      </c>
      <c r="S68" s="51"/>
    </row>
    <row r="69" spans="1:19" ht="15.75" customHeight="1">
      <c r="A69" s="23">
        <v>58</v>
      </c>
      <c r="B69" s="43">
        <f t="shared" si="15"/>
        <v>0</v>
      </c>
      <c r="C69" s="123">
        <f t="shared" si="5"/>
        <v>0</v>
      </c>
      <c r="D69" s="43">
        <f t="shared" si="16"/>
        <v>0</v>
      </c>
      <c r="E69" s="68">
        <f t="shared" si="17"/>
        <v>0</v>
      </c>
      <c r="F69" s="51"/>
      <c r="G69" s="4195"/>
      <c r="H69" s="22" t="s">
        <v>26</v>
      </c>
      <c r="I69" s="43">
        <f>IF($B$8=12,B69,IF($B$8=4,B31,IF($B$8=6,0,IF($B$8=3,0,0))))</f>
        <v>0</v>
      </c>
      <c r="J69" s="43">
        <f>IF($B$8=12,C69,IF($B$8=4,C31,IF($B$8=6,0,IF($B$8=3,0,0))))</f>
        <v>0</v>
      </c>
      <c r="K69" s="68">
        <f>IF($B$8=12,D69,IF($B$8=4,D31,IF($B$8=6,0,IF($B$8=3,0,0))))</f>
        <v>0</v>
      </c>
      <c r="M69" s="4195"/>
      <c r="N69" s="9" t="s">
        <v>26</v>
      </c>
      <c r="O69" s="43">
        <f t="shared" si="21"/>
        <v>0</v>
      </c>
      <c r="P69" s="43">
        <f t="shared" si="22"/>
        <v>0</v>
      </c>
      <c r="Q69" s="44">
        <f t="shared" si="23"/>
        <v>0</v>
      </c>
      <c r="R69" s="68">
        <f t="shared" si="8"/>
        <v>0</v>
      </c>
      <c r="S69" s="51"/>
    </row>
    <row r="70" spans="1:19" ht="15.75" customHeight="1">
      <c r="A70" s="23">
        <v>59</v>
      </c>
      <c r="B70" s="43">
        <f t="shared" si="15"/>
        <v>0</v>
      </c>
      <c r="C70" s="123">
        <f t="shared" si="5"/>
        <v>0</v>
      </c>
      <c r="D70" s="43">
        <f t="shared" si="16"/>
        <v>0</v>
      </c>
      <c r="E70" s="68">
        <f t="shared" si="17"/>
        <v>0</v>
      </c>
      <c r="F70" s="51"/>
      <c r="G70" s="4195"/>
      <c r="H70" s="22" t="s">
        <v>27</v>
      </c>
      <c r="I70" s="43">
        <f>IF($B$8=12,B70,IF($B$8=4,0,IF($B$8=6,B41,IF($B$8=3,0,0))))</f>
        <v>0</v>
      </c>
      <c r="J70" s="43">
        <f>IF($B$8=12,C70,IF($B$8=4,0,IF($B$8=6,C41,IF($B$8=3,0,0))))</f>
        <v>0</v>
      </c>
      <c r="K70" s="68">
        <f>IF($B$8=12,D70,IF($B$8=4,0,IF($B$8=6,D41,IF($B$8=3,0,0))))</f>
        <v>0</v>
      </c>
      <c r="M70" s="4195"/>
      <c r="N70" s="9" t="s">
        <v>27</v>
      </c>
      <c r="O70" s="43">
        <f t="shared" si="21"/>
        <v>0</v>
      </c>
      <c r="P70" s="43">
        <f t="shared" si="22"/>
        <v>0</v>
      </c>
      <c r="Q70" s="44">
        <f t="shared" si="23"/>
        <v>0</v>
      </c>
      <c r="R70" s="68">
        <f t="shared" si="8"/>
        <v>0</v>
      </c>
      <c r="S70" s="51"/>
    </row>
    <row r="71" spans="1:19" ht="15.75" customHeight="1" thickBot="1">
      <c r="A71" s="26">
        <v>60</v>
      </c>
      <c r="B71" s="48">
        <f t="shared" si="15"/>
        <v>0</v>
      </c>
      <c r="C71" s="138">
        <f t="shared" si="5"/>
        <v>0</v>
      </c>
      <c r="D71" s="48">
        <f t="shared" si="16"/>
        <v>0</v>
      </c>
      <c r="E71" s="49">
        <f t="shared" si="17"/>
        <v>0</v>
      </c>
      <c r="F71" s="243">
        <f>SUM(D60:D71)</f>
        <v>0</v>
      </c>
      <c r="G71" s="4196"/>
      <c r="H71" s="38" t="s">
        <v>28</v>
      </c>
      <c r="I71" s="48">
        <f>IF($B$8=12,B71,IF($B$8=4,0,IF($B$8=6,0,IF($B$8=3,0,0))))</f>
        <v>0</v>
      </c>
      <c r="J71" s="48">
        <f>IF($B$8=12,C71,IF($B$8=4,0,IF($B$8=6,0,IF($B$8=3,0,0))))</f>
        <v>0</v>
      </c>
      <c r="K71" s="79">
        <f>IF($B$8=12,D71,IF($B$8=4,0,IF($B$8=6,0,IF($B$8=3,0,0))))</f>
        <v>0</v>
      </c>
      <c r="M71" s="4196"/>
      <c r="N71" s="36" t="s">
        <v>28</v>
      </c>
      <c r="O71" s="48">
        <f t="shared" si="21"/>
        <v>0</v>
      </c>
      <c r="P71" s="48">
        <f t="shared" si="22"/>
        <v>0</v>
      </c>
      <c r="Q71" s="49">
        <f t="shared" si="23"/>
        <v>0</v>
      </c>
      <c r="R71" s="49">
        <f t="shared" si="8"/>
        <v>0</v>
      </c>
      <c r="S71" s="1100">
        <f>SUM(Q60:Q71)</f>
        <v>0</v>
      </c>
    </row>
    <row r="72" spans="1:19" ht="16.5" thickTop="1">
      <c r="A72" s="23">
        <v>61</v>
      </c>
      <c r="B72" s="43">
        <f t="shared" ref="B72:B83" si="24">IF(A72&gt;$I$9,IF(E71&gt;1,PMT($B$6/$B$8,$B$7*$B$8,-$B$5),0),0)</f>
        <v>0</v>
      </c>
      <c r="C72" s="123">
        <f t="shared" ref="C72:C83" si="25">IF(B72&gt;0,B72-D72,E72*($B$6/$B$8))</f>
        <v>0</v>
      </c>
      <c r="D72" s="43">
        <f t="shared" ref="D72:D83" si="26">IF(A72&gt;$I$9,B72-(E71*($B$6/$B$8)),0)</f>
        <v>0</v>
      </c>
      <c r="E72" s="44">
        <f t="shared" ref="E72:E83" si="27">IF((E71-D72)&gt;0,E71-D72,0)</f>
        <v>0</v>
      </c>
      <c r="F72" s="51"/>
      <c r="H72" s="22" t="s">
        <v>17</v>
      </c>
      <c r="I72" s="43">
        <f t="shared" ref="I72:I83" si="28">IF($B$8=12,B72,IF($B$8=4,0,IF($B$8=6,0,IF($B$8=3,0,0))))</f>
        <v>0</v>
      </c>
      <c r="J72" s="43">
        <f t="shared" ref="J72:J83" si="29">IF($B$8=12,C72,IF($B$8=4,0,IF($B$8=6,0,IF($B$8=3,0,0))))</f>
        <v>0</v>
      </c>
      <c r="K72" s="68">
        <f t="shared" ref="K72:K83" si="30">IF($B$8=12,D72,IF($B$8=4,0,IF($B$8=6,0,IF($B$8=3,0,0))))</f>
        <v>0</v>
      </c>
      <c r="N72" s="9" t="s">
        <v>17</v>
      </c>
      <c r="O72" s="43">
        <f t="shared" ref="O72:O83" si="31">IF($I$6=5,I24,IF($I$6=4,I36,IF($I$6=3,I48,IF($I$6=2,I60,IF($I$6=1,I72,0)))))</f>
        <v>0</v>
      </c>
      <c r="P72" s="43">
        <f t="shared" ref="P72:P83" si="32">IF($I$6=5,J24,IF($I$6=4,J36,IF($I$6=3,J48,IF($I$6=2,J60,IF($I$6=1,J72,0)))))</f>
        <v>0</v>
      </c>
      <c r="Q72" s="44">
        <f t="shared" ref="Q72:Q83" si="33">IF($I$6=5,K24,IF($I$6=4,K36,IF($I$6=3,K48,IF($I$6=2,K60,IF($I$6=1,K72,0)))))</f>
        <v>0</v>
      </c>
      <c r="R72" s="44">
        <f t="shared" si="8"/>
        <v>0</v>
      </c>
      <c r="S72" s="51"/>
    </row>
    <row r="73" spans="1:19">
      <c r="A73" s="23">
        <v>62</v>
      </c>
      <c r="B73" s="43">
        <f t="shared" si="24"/>
        <v>0</v>
      </c>
      <c r="C73" s="123">
        <f t="shared" si="25"/>
        <v>0</v>
      </c>
      <c r="D73" s="43">
        <f t="shared" si="26"/>
        <v>0</v>
      </c>
      <c r="E73" s="44">
        <f t="shared" si="27"/>
        <v>0</v>
      </c>
      <c r="F73"/>
      <c r="H73" s="22" t="s">
        <v>18</v>
      </c>
      <c r="I73" s="43">
        <f t="shared" si="28"/>
        <v>0</v>
      </c>
      <c r="J73" s="43">
        <f t="shared" si="29"/>
        <v>0</v>
      </c>
      <c r="K73" s="68">
        <f t="shared" si="30"/>
        <v>0</v>
      </c>
      <c r="N73" s="9" t="s">
        <v>18</v>
      </c>
      <c r="O73" s="43">
        <f t="shared" si="31"/>
        <v>0</v>
      </c>
      <c r="P73" s="43">
        <f t="shared" si="32"/>
        <v>0</v>
      </c>
      <c r="Q73" s="44">
        <f t="shared" si="33"/>
        <v>0</v>
      </c>
      <c r="R73" s="44">
        <f t="shared" si="8"/>
        <v>0</v>
      </c>
      <c r="S73"/>
    </row>
    <row r="74" spans="1:19">
      <c r="A74" s="23">
        <v>63</v>
      </c>
      <c r="B74" s="43">
        <f t="shared" si="24"/>
        <v>0</v>
      </c>
      <c r="C74" s="123">
        <f t="shared" si="25"/>
        <v>0</v>
      </c>
      <c r="D74" s="43">
        <f t="shared" si="26"/>
        <v>0</v>
      </c>
      <c r="E74" s="44">
        <f t="shared" si="27"/>
        <v>0</v>
      </c>
      <c r="F74"/>
      <c r="H74" s="22" t="s">
        <v>19</v>
      </c>
      <c r="I74" s="43">
        <f t="shared" si="28"/>
        <v>0</v>
      </c>
      <c r="J74" s="43">
        <f t="shared" si="29"/>
        <v>0</v>
      </c>
      <c r="K74" s="68">
        <f t="shared" si="30"/>
        <v>0</v>
      </c>
      <c r="N74" s="9" t="s">
        <v>19</v>
      </c>
      <c r="O74" s="43">
        <f t="shared" si="31"/>
        <v>0</v>
      </c>
      <c r="P74" s="43">
        <f t="shared" si="32"/>
        <v>0</v>
      </c>
      <c r="Q74" s="44">
        <f t="shared" si="33"/>
        <v>0</v>
      </c>
      <c r="R74" s="44">
        <f t="shared" si="8"/>
        <v>0</v>
      </c>
      <c r="S74"/>
    </row>
    <row r="75" spans="1:19">
      <c r="A75" s="23">
        <v>64</v>
      </c>
      <c r="B75" s="43">
        <f t="shared" si="24"/>
        <v>0</v>
      </c>
      <c r="C75" s="123">
        <f t="shared" si="25"/>
        <v>0</v>
      </c>
      <c r="D75" s="43">
        <f t="shared" si="26"/>
        <v>0</v>
      </c>
      <c r="E75" s="44">
        <f t="shared" si="27"/>
        <v>0</v>
      </c>
      <c r="F75"/>
      <c r="H75" s="22" t="s">
        <v>20</v>
      </c>
      <c r="I75" s="43">
        <f t="shared" si="28"/>
        <v>0</v>
      </c>
      <c r="J75" s="43">
        <f t="shared" si="29"/>
        <v>0</v>
      </c>
      <c r="K75" s="68">
        <f t="shared" si="30"/>
        <v>0</v>
      </c>
      <c r="N75" s="9" t="s">
        <v>20</v>
      </c>
      <c r="O75" s="43">
        <f t="shared" si="31"/>
        <v>0</v>
      </c>
      <c r="P75" s="43">
        <f t="shared" si="32"/>
        <v>0</v>
      </c>
      <c r="Q75" s="44">
        <f t="shared" si="33"/>
        <v>0</v>
      </c>
      <c r="R75" s="44">
        <f t="shared" si="8"/>
        <v>0</v>
      </c>
      <c r="S75"/>
    </row>
    <row r="76" spans="1:19">
      <c r="A76" s="23">
        <v>65</v>
      </c>
      <c r="B76" s="43">
        <f t="shared" si="24"/>
        <v>0</v>
      </c>
      <c r="C76" s="123">
        <f t="shared" si="25"/>
        <v>0</v>
      </c>
      <c r="D76" s="43">
        <f t="shared" si="26"/>
        <v>0</v>
      </c>
      <c r="E76" s="44">
        <f t="shared" si="27"/>
        <v>0</v>
      </c>
      <c r="F76"/>
      <c r="H76" s="22" t="s">
        <v>21</v>
      </c>
      <c r="I76" s="43">
        <f t="shared" si="28"/>
        <v>0</v>
      </c>
      <c r="J76" s="43">
        <f t="shared" si="29"/>
        <v>0</v>
      </c>
      <c r="K76" s="68">
        <f t="shared" si="30"/>
        <v>0</v>
      </c>
      <c r="N76" s="9" t="s">
        <v>21</v>
      </c>
      <c r="O76" s="43">
        <f t="shared" si="31"/>
        <v>0</v>
      </c>
      <c r="P76" s="43">
        <f t="shared" si="32"/>
        <v>0</v>
      </c>
      <c r="Q76" s="44">
        <f t="shared" si="33"/>
        <v>0</v>
      </c>
      <c r="R76" s="44">
        <f t="shared" si="8"/>
        <v>0</v>
      </c>
      <c r="S76"/>
    </row>
    <row r="77" spans="1:19">
      <c r="A77" s="23">
        <v>66</v>
      </c>
      <c r="B77" s="43">
        <f t="shared" si="24"/>
        <v>0</v>
      </c>
      <c r="C77" s="123">
        <f t="shared" si="25"/>
        <v>0</v>
      </c>
      <c r="D77" s="43">
        <f t="shared" si="26"/>
        <v>0</v>
      </c>
      <c r="E77" s="44">
        <f t="shared" si="27"/>
        <v>0</v>
      </c>
      <c r="F77"/>
      <c r="H77" s="22" t="s">
        <v>22</v>
      </c>
      <c r="I77" s="43">
        <f t="shared" si="28"/>
        <v>0</v>
      </c>
      <c r="J77" s="43">
        <f t="shared" si="29"/>
        <v>0</v>
      </c>
      <c r="K77" s="68">
        <f t="shared" si="30"/>
        <v>0</v>
      </c>
      <c r="N77" s="9" t="s">
        <v>22</v>
      </c>
      <c r="O77" s="43">
        <f t="shared" si="31"/>
        <v>0</v>
      </c>
      <c r="P77" s="43">
        <f t="shared" si="32"/>
        <v>0</v>
      </c>
      <c r="Q77" s="44">
        <f t="shared" si="33"/>
        <v>0</v>
      </c>
      <c r="R77" s="44">
        <f t="shared" si="8"/>
        <v>0</v>
      </c>
      <c r="S77"/>
    </row>
    <row r="78" spans="1:19">
      <c r="A78" s="23">
        <v>67</v>
      </c>
      <c r="B78" s="43">
        <f t="shared" si="24"/>
        <v>0</v>
      </c>
      <c r="C78" s="123">
        <f t="shared" si="25"/>
        <v>0</v>
      </c>
      <c r="D78" s="43">
        <f t="shared" si="26"/>
        <v>0</v>
      </c>
      <c r="E78" s="44">
        <f t="shared" si="27"/>
        <v>0</v>
      </c>
      <c r="F78"/>
      <c r="H78" s="22" t="s">
        <v>23</v>
      </c>
      <c r="I78" s="43">
        <f t="shared" si="28"/>
        <v>0</v>
      </c>
      <c r="J78" s="43">
        <f t="shared" si="29"/>
        <v>0</v>
      </c>
      <c r="K78" s="68">
        <f t="shared" si="30"/>
        <v>0</v>
      </c>
      <c r="N78" s="9" t="s">
        <v>23</v>
      </c>
      <c r="O78" s="43">
        <f t="shared" si="31"/>
        <v>0</v>
      </c>
      <c r="P78" s="43">
        <f t="shared" si="32"/>
        <v>0</v>
      </c>
      <c r="Q78" s="44">
        <f t="shared" si="33"/>
        <v>0</v>
      </c>
      <c r="R78" s="44">
        <f t="shared" ref="R78:R83" si="34">IF((R77-Q78)&gt;0,R77-Q78,0)</f>
        <v>0</v>
      </c>
      <c r="S78"/>
    </row>
    <row r="79" spans="1:19">
      <c r="A79" s="23">
        <v>68</v>
      </c>
      <c r="B79" s="43">
        <f t="shared" si="24"/>
        <v>0</v>
      </c>
      <c r="C79" s="123">
        <f t="shared" si="25"/>
        <v>0</v>
      </c>
      <c r="D79" s="43">
        <f t="shared" si="26"/>
        <v>0</v>
      </c>
      <c r="E79" s="44">
        <f t="shared" si="27"/>
        <v>0</v>
      </c>
      <c r="F79"/>
      <c r="H79" s="22" t="s">
        <v>24</v>
      </c>
      <c r="I79" s="43">
        <f t="shared" si="28"/>
        <v>0</v>
      </c>
      <c r="J79" s="43">
        <f t="shared" si="29"/>
        <v>0</v>
      </c>
      <c r="K79" s="68">
        <f t="shared" si="30"/>
        <v>0</v>
      </c>
      <c r="N79" s="9" t="s">
        <v>24</v>
      </c>
      <c r="O79" s="43">
        <f t="shared" si="31"/>
        <v>0</v>
      </c>
      <c r="P79" s="43">
        <f t="shared" si="32"/>
        <v>0</v>
      </c>
      <c r="Q79" s="44">
        <f t="shared" si="33"/>
        <v>0</v>
      </c>
      <c r="R79" s="44">
        <f t="shared" si="34"/>
        <v>0</v>
      </c>
      <c r="S79"/>
    </row>
    <row r="80" spans="1:19">
      <c r="A80" s="23">
        <v>69</v>
      </c>
      <c r="B80" s="43">
        <f t="shared" si="24"/>
        <v>0</v>
      </c>
      <c r="C80" s="123">
        <f t="shared" si="25"/>
        <v>0</v>
      </c>
      <c r="D80" s="43">
        <f t="shared" si="26"/>
        <v>0</v>
      </c>
      <c r="E80" s="44">
        <f t="shared" si="27"/>
        <v>0</v>
      </c>
      <c r="F80"/>
      <c r="H80" s="22" t="s">
        <v>25</v>
      </c>
      <c r="I80" s="43">
        <f t="shared" si="28"/>
        <v>0</v>
      </c>
      <c r="J80" s="43">
        <f t="shared" si="29"/>
        <v>0</v>
      </c>
      <c r="K80" s="68">
        <f t="shared" si="30"/>
        <v>0</v>
      </c>
      <c r="N80" s="9" t="s">
        <v>25</v>
      </c>
      <c r="O80" s="43">
        <f t="shared" si="31"/>
        <v>0</v>
      </c>
      <c r="P80" s="43">
        <f t="shared" si="32"/>
        <v>0</v>
      </c>
      <c r="Q80" s="44">
        <f t="shared" si="33"/>
        <v>0</v>
      </c>
      <c r="R80" s="44">
        <f t="shared" si="34"/>
        <v>0</v>
      </c>
      <c r="S80"/>
    </row>
    <row r="81" spans="1:19">
      <c r="A81" s="23">
        <v>70</v>
      </c>
      <c r="B81" s="43">
        <f t="shared" si="24"/>
        <v>0</v>
      </c>
      <c r="C81" s="123">
        <f t="shared" si="25"/>
        <v>0</v>
      </c>
      <c r="D81" s="43">
        <f t="shared" si="26"/>
        <v>0</v>
      </c>
      <c r="E81" s="44">
        <f t="shared" si="27"/>
        <v>0</v>
      </c>
      <c r="F81"/>
      <c r="H81" s="22" t="s">
        <v>26</v>
      </c>
      <c r="I81" s="43">
        <f t="shared" si="28"/>
        <v>0</v>
      </c>
      <c r="J81" s="43">
        <f t="shared" si="29"/>
        <v>0</v>
      </c>
      <c r="K81" s="68">
        <f t="shared" si="30"/>
        <v>0</v>
      </c>
      <c r="N81" s="9" t="s">
        <v>26</v>
      </c>
      <c r="O81" s="43">
        <f t="shared" si="31"/>
        <v>0</v>
      </c>
      <c r="P81" s="43">
        <f t="shared" si="32"/>
        <v>0</v>
      </c>
      <c r="Q81" s="44">
        <f t="shared" si="33"/>
        <v>0</v>
      </c>
      <c r="R81" s="44">
        <f t="shared" si="34"/>
        <v>0</v>
      </c>
      <c r="S81"/>
    </row>
    <row r="82" spans="1:19">
      <c r="A82" s="23">
        <v>71</v>
      </c>
      <c r="B82" s="43">
        <f t="shared" si="24"/>
        <v>0</v>
      </c>
      <c r="C82" s="123">
        <f t="shared" si="25"/>
        <v>0</v>
      </c>
      <c r="D82" s="43">
        <f t="shared" si="26"/>
        <v>0</v>
      </c>
      <c r="E82" s="44">
        <f t="shared" si="27"/>
        <v>0</v>
      </c>
      <c r="F82"/>
      <c r="H82" s="22" t="s">
        <v>27</v>
      </c>
      <c r="I82" s="43">
        <f t="shared" si="28"/>
        <v>0</v>
      </c>
      <c r="J82" s="43">
        <f t="shared" si="29"/>
        <v>0</v>
      </c>
      <c r="K82" s="68">
        <f t="shared" si="30"/>
        <v>0</v>
      </c>
      <c r="N82" s="9" t="s">
        <v>27</v>
      </c>
      <c r="O82" s="43">
        <f t="shared" si="31"/>
        <v>0</v>
      </c>
      <c r="P82" s="43">
        <f t="shared" si="32"/>
        <v>0</v>
      </c>
      <c r="Q82" s="44">
        <f t="shared" si="33"/>
        <v>0</v>
      </c>
      <c r="R82" s="44">
        <f t="shared" si="34"/>
        <v>0</v>
      </c>
      <c r="S82"/>
    </row>
    <row r="83" spans="1:19" ht="16.5" thickBot="1">
      <c r="A83" s="26">
        <v>72</v>
      </c>
      <c r="B83" s="48">
        <f t="shared" si="24"/>
        <v>0</v>
      </c>
      <c r="C83" s="138">
        <f t="shared" si="25"/>
        <v>0</v>
      </c>
      <c r="D83" s="48">
        <f t="shared" si="26"/>
        <v>0</v>
      </c>
      <c r="E83" s="49">
        <f t="shared" si="27"/>
        <v>0</v>
      </c>
      <c r="F83" s="243">
        <f>SUM(D72:D83)</f>
        <v>0</v>
      </c>
      <c r="H83" s="38" t="s">
        <v>28</v>
      </c>
      <c r="I83" s="48">
        <f t="shared" si="28"/>
        <v>0</v>
      </c>
      <c r="J83" s="48">
        <f t="shared" si="29"/>
        <v>0</v>
      </c>
      <c r="K83" s="79">
        <f t="shared" si="30"/>
        <v>0</v>
      </c>
      <c r="N83" s="36" t="s">
        <v>28</v>
      </c>
      <c r="O83" s="48">
        <f t="shared" si="31"/>
        <v>0</v>
      </c>
      <c r="P83" s="48">
        <f t="shared" si="32"/>
        <v>0</v>
      </c>
      <c r="Q83" s="49">
        <f t="shared" si="33"/>
        <v>0</v>
      </c>
      <c r="R83" s="49">
        <f t="shared" si="34"/>
        <v>0</v>
      </c>
      <c r="S83" s="1100">
        <f>SUM(Q72:Q83)</f>
        <v>0</v>
      </c>
    </row>
    <row r="84" spans="1:19" ht="16.5" thickTop="1"/>
  </sheetData>
  <sheetProtection formatColumns="0" formatRows="0"/>
  <mergeCells count="10">
    <mergeCell ref="G12:G23"/>
    <mergeCell ref="G60:G71"/>
    <mergeCell ref="G24:G35"/>
    <mergeCell ref="G36:G47"/>
    <mergeCell ref="G48:G59"/>
    <mergeCell ref="M60:M71"/>
    <mergeCell ref="M12:M23"/>
    <mergeCell ref="M24:M35"/>
    <mergeCell ref="M36:M47"/>
    <mergeCell ref="M48:M59"/>
  </mergeCells>
  <phoneticPr fontId="9" type="noConversion"/>
  <dataValidations xWindow="178" yWindow="332" count="2">
    <dataValidation allowBlank="1" showInputMessage="1" showErrorMessage="1" error="Solo valores enteros comprendidos entre 1 y 5" sqref="I6"/>
    <dataValidation type="decimal" allowBlank="1" showErrorMessage="1" sqref="B9">
      <formula1>0</formula1>
      <formula2>12</formula2>
    </dataValidation>
  </dataValidations>
  <printOptions horizontalCentered="1"/>
  <pageMargins left="0.78740157480314965" right="0.75" top="0.47244094488188981" bottom="0.15748031496062992" header="0" footer="0"/>
  <pageSetup paperSize="9" scale="44"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U84"/>
  <sheetViews>
    <sheetView topLeftCell="J1" zoomScale="75" zoomScaleNormal="65" zoomScaleSheetLayoutView="50" workbookViewId="0">
      <selection activeCell="U16" sqref="U16"/>
    </sheetView>
  </sheetViews>
  <sheetFormatPr baseColWidth="10" defaultColWidth="11.1640625" defaultRowHeight="15.75"/>
  <cols>
    <col min="1" max="1" width="24" style="9" customWidth="1"/>
    <col min="2" max="3" width="18.33203125" style="9" customWidth="1"/>
    <col min="4" max="4" width="20.1640625" style="9" bestFit="1" customWidth="1"/>
    <col min="5" max="5" width="21.83203125" style="9" customWidth="1"/>
    <col min="6" max="6" width="7" style="9" customWidth="1"/>
    <col min="7" max="7" width="3.83203125" style="9" customWidth="1"/>
    <col min="8" max="8" width="26.1640625" style="9" customWidth="1"/>
    <col min="9" max="9" width="18" style="9" customWidth="1"/>
    <col min="10" max="10" width="18.33203125" style="9" customWidth="1"/>
    <col min="11" max="11" width="20.83203125" style="9" customWidth="1"/>
    <col min="12" max="12" width="7" style="9" customWidth="1"/>
    <col min="13" max="13" width="3.83203125" style="9" customWidth="1"/>
    <col min="14" max="14" width="19.33203125" style="9" customWidth="1"/>
    <col min="15" max="16" width="18.33203125" style="9" customWidth="1"/>
    <col min="17" max="17" width="20.83203125" style="9" customWidth="1"/>
    <col min="18" max="18" width="21" style="9" customWidth="1"/>
    <col min="19" max="19" width="16.5" style="9" customWidth="1"/>
    <col min="20" max="20" width="19.6640625" style="9" customWidth="1"/>
    <col min="21" max="21" width="13" style="9" customWidth="1"/>
    <col min="22" max="16384" width="11.1640625" style="9"/>
  </cols>
  <sheetData>
    <row r="1" spans="1:21" ht="39.950000000000003" customHeight="1" thickBot="1">
      <c r="A1" s="8" t="s">
        <v>123</v>
      </c>
      <c r="D1" s="96"/>
      <c r="E1" s="96"/>
      <c r="F1" s="96"/>
    </row>
    <row r="2" spans="1:21" ht="39.950000000000003" customHeight="1" thickTop="1" thickBot="1">
      <c r="A2" s="39"/>
      <c r="N2" s="17" t="s">
        <v>68</v>
      </c>
      <c r="O2" s="31" t="s">
        <v>14</v>
      </c>
      <c r="P2" s="31" t="s">
        <v>66</v>
      </c>
      <c r="Q2" s="33" t="s">
        <v>67</v>
      </c>
      <c r="R2" s="32" t="s">
        <v>15</v>
      </c>
      <c r="S2" s="242" t="s">
        <v>419</v>
      </c>
      <c r="T2" s="242" t="s">
        <v>420</v>
      </c>
      <c r="U2"/>
    </row>
    <row r="3" spans="1:21" ht="20.100000000000001" customHeight="1" thickTop="1">
      <c r="A3" s="8" t="str">
        <f>"Cuadro de Amortización del Crédito -  Año "&amp;'(0) 3b. Préstam Financ.'!M15</f>
        <v>Cuadro de Amortización del Crédito -  Año 3º ejerc.2</v>
      </c>
      <c r="G3" s="39"/>
      <c r="N3" s="27">
        <f>Año_comienzo_Plan</f>
        <v>0</v>
      </c>
      <c r="O3" s="41">
        <f>SUM(O12:O23)</f>
        <v>0</v>
      </c>
      <c r="P3" s="41">
        <f>SUM(P12:P23)</f>
        <v>0</v>
      </c>
      <c r="Q3" s="41">
        <f>SUM(Q12:Q23)</f>
        <v>0</v>
      </c>
      <c r="R3" s="44">
        <f>IF($I$6=1,$B$5-Q3,0)</f>
        <v>0</v>
      </c>
      <c r="S3" s="1101">
        <f>IF($R$23=0,0,$R$23-$S$35)*0</f>
        <v>0</v>
      </c>
      <c r="T3" s="1101">
        <f>$S$35*0</f>
        <v>0</v>
      </c>
      <c r="U3" s="246">
        <f t="shared" ref="U3:U8" si="0">SUM(S3:T3)</f>
        <v>0</v>
      </c>
    </row>
    <row r="4" spans="1:21" ht="20.100000000000001" customHeight="1" thickBot="1">
      <c r="N4" s="28">
        <f>N3+1</f>
        <v>1</v>
      </c>
      <c r="O4" s="43">
        <f>SUM(O24:O35)</f>
        <v>0</v>
      </c>
      <c r="P4" s="43">
        <f>SUM(P24:P35)</f>
        <v>0</v>
      </c>
      <c r="Q4" s="43">
        <f>SUM(Q24:Q35)</f>
        <v>0</v>
      </c>
      <c r="R4" s="44">
        <f>IF($I$6=1,$B$5-(Q3+Q4),IF($I$6=2,$B$5-Q4,0))</f>
        <v>0</v>
      </c>
      <c r="S4" s="1101">
        <f>IF($R$35=0,0,$R$35-$S$47)*0</f>
        <v>0</v>
      </c>
      <c r="T4" s="1101">
        <f>$S$47*0</f>
        <v>0</v>
      </c>
      <c r="U4" s="246">
        <f t="shared" si="0"/>
        <v>0</v>
      </c>
    </row>
    <row r="5" spans="1:21" ht="20.100000000000001" customHeight="1" thickTop="1" thickBot="1">
      <c r="A5" s="10" t="s">
        <v>54</v>
      </c>
      <c r="B5" s="124">
        <f>'(0) 3b. Préstam Financ.'!M17</f>
        <v>0</v>
      </c>
      <c r="C5" s="96"/>
      <c r="N5" s="28">
        <f>N3+2</f>
        <v>2</v>
      </c>
      <c r="O5" s="43">
        <f>SUM(O36:O47)</f>
        <v>0</v>
      </c>
      <c r="P5" s="43">
        <f>SUM(P36:P47)</f>
        <v>0</v>
      </c>
      <c r="Q5" s="43">
        <f>SUM(Q36:Q47)</f>
        <v>0</v>
      </c>
      <c r="R5" s="44">
        <f>IF($I$6=1,$B$5-(Q3+Q4+Q5),IF($I$6=2,$B$5-(Q4+Q5),IF($I$6=3,$B$5-(Q5),0)))</f>
        <v>0</v>
      </c>
      <c r="S5" s="1101">
        <f>IF($R$47=0,0,$R$47-$S$59)</f>
        <v>0</v>
      </c>
      <c r="T5" s="1101">
        <f>$S$59</f>
        <v>0</v>
      </c>
      <c r="U5" s="246">
        <f t="shared" si="0"/>
        <v>0</v>
      </c>
    </row>
    <row r="6" spans="1:21" ht="20.100000000000001" customHeight="1" thickBot="1">
      <c r="A6" s="11" t="s">
        <v>9</v>
      </c>
      <c r="B6" s="125">
        <f>'(0) 3b. Préstam Financ.'!M18</f>
        <v>0.05</v>
      </c>
      <c r="C6" s="96"/>
      <c r="D6" s="106"/>
      <c r="E6" s="12" t="s">
        <v>70</v>
      </c>
      <c r="F6" s="13"/>
      <c r="G6" s="14"/>
      <c r="H6" s="14"/>
      <c r="I6" s="129" t="str">
        <f>IF('(0) 3b. Préstam Financ.'!M17&gt;0,3,"")</f>
        <v/>
      </c>
      <c r="J6" s="15" t="s">
        <v>75</v>
      </c>
      <c r="N6" s="28">
        <f>N3+3</f>
        <v>3</v>
      </c>
      <c r="O6" s="43">
        <f>SUM(O48:O59)</f>
        <v>0</v>
      </c>
      <c r="P6" s="43">
        <f>IF(SUM(P48:P59)&lt;&gt;0,SUM(P48:P59),0)</f>
        <v>0</v>
      </c>
      <c r="Q6" s="43">
        <f>SUM(Q48:Q59)</f>
        <v>0</v>
      </c>
      <c r="R6" s="44">
        <f>IF($I$6=1,$B$5-(Q3+Q4+Q5+Q6),IF($I$6=2,$B$5-(Q4+Q5+Q6),IF($I$6=3,$B$5-(Q5+Q6),IF($I$6=4,$B$5-Q6,0))))</f>
        <v>0</v>
      </c>
      <c r="S6" s="1101">
        <f>IF($R$59=0,0,$R$59-$S$71)</f>
        <v>0</v>
      </c>
      <c r="T6" s="1101">
        <f>$S$71</f>
        <v>0</v>
      </c>
      <c r="U6" s="246">
        <f t="shared" si="0"/>
        <v>0</v>
      </c>
    </row>
    <row r="7" spans="1:21" ht="20.100000000000001" customHeight="1" thickBot="1">
      <c r="A7" s="11" t="s">
        <v>10</v>
      </c>
      <c r="B7" s="126">
        <f>'(0) 3b. Préstam Financ.'!M19</f>
        <v>5</v>
      </c>
      <c r="C7" s="96"/>
      <c r="N7" s="29">
        <f>N3+4</f>
        <v>4</v>
      </c>
      <c r="O7" s="48">
        <f>SUM(O60:O71)</f>
        <v>0</v>
      </c>
      <c r="P7" s="48">
        <f>SUM(P60:P71)</f>
        <v>0</v>
      </c>
      <c r="Q7" s="48">
        <f>SUM(Q60:Q71)</f>
        <v>0</v>
      </c>
      <c r="R7" s="49">
        <f>IF($I$6=1,$B$5-(Q3+Q4+Q5+Q6+Q7),IF($I$6=2,$B$5-(Q4+Q5+Q6+Q7),IF($I$6=3,$B$5-(Q5+Q6+Q7),IF($I$6=4,$B$5-(Q6+Q7),IF($I$6=5,$B$5-Q7,0)))))</f>
        <v>0</v>
      </c>
      <c r="S7" s="1101">
        <f>IF($R$71=0,0,$R$71-$S$83)</f>
        <v>0</v>
      </c>
      <c r="T7" s="1101">
        <f>$S$83</f>
        <v>0</v>
      </c>
      <c r="U7" s="246">
        <f t="shared" si="0"/>
        <v>0</v>
      </c>
    </row>
    <row r="8" spans="1:21" ht="20.100000000000001" customHeight="1" thickTop="1" thickBot="1">
      <c r="A8" s="11" t="s">
        <v>12</v>
      </c>
      <c r="B8" s="126">
        <f>'(0) 3b. Préstam Financ.'!M20</f>
        <v>12</v>
      </c>
      <c r="C8" s="96"/>
      <c r="N8" s="29">
        <f>N4+4</f>
        <v>5</v>
      </c>
      <c r="O8" s="48">
        <f>SUM(O72:O83)</f>
        <v>0</v>
      </c>
      <c r="P8" s="48">
        <f>SUM(P72:P83)</f>
        <v>0</v>
      </c>
      <c r="Q8" s="48">
        <f>SUM(Q72:Q83)</f>
        <v>0</v>
      </c>
      <c r="R8" s="49">
        <f>IF($I$6=1,$B$5-(Q3+Q4+Q5+Q6+Q7+Q8),IF($I$6=2,$B$5-(Q4+Q5+Q6+Q7+Q8),IF($I$6=3,$B$5-(Q5+Q6+Q7+Q8),IF($I$6=4,$B$5-(Q6+Q7+Q8),IF($I$6=5,$B$5-(Q7+Q8),IF($I$6=6,$B$5-(Q8),0))))))</f>
        <v>0</v>
      </c>
      <c r="S8" s="1102">
        <v>0</v>
      </c>
      <c r="T8" s="1102">
        <v>0</v>
      </c>
      <c r="U8" s="246">
        <f t="shared" si="0"/>
        <v>0</v>
      </c>
    </row>
    <row r="9" spans="1:21" ht="20.100000000000001" customHeight="1" thickTop="1" thickBot="1">
      <c r="A9" s="16"/>
      <c r="B9" s="127"/>
      <c r="C9" s="96"/>
      <c r="D9" s="108" t="s">
        <v>82</v>
      </c>
      <c r="E9" s="231">
        <f>'(0) 3b. Préstam Financ.'!M22*0</f>
        <v>0</v>
      </c>
      <c r="H9" s="108" t="s">
        <v>97</v>
      </c>
      <c r="I9" s="128">
        <f>'(0) 3b. Préstam Financ.'!M21</f>
        <v>0</v>
      </c>
      <c r="S9" s="1102"/>
      <c r="T9" s="1102"/>
    </row>
    <row r="10" spans="1:21" ht="20.100000000000001" customHeight="1" thickTop="1" thickBot="1">
      <c r="R10" s="1098"/>
      <c r="S10" s="1098"/>
    </row>
    <row r="11" spans="1:21" ht="33" customHeight="1" thickTop="1" thickBot="1">
      <c r="A11" s="17" t="s">
        <v>13</v>
      </c>
      <c r="B11" s="31" t="s">
        <v>14</v>
      </c>
      <c r="C11" s="18" t="s">
        <v>11</v>
      </c>
      <c r="D11" s="18" t="s">
        <v>6</v>
      </c>
      <c r="E11" s="19" t="s">
        <v>15</v>
      </c>
      <c r="F11" s="64"/>
      <c r="H11" s="17" t="s">
        <v>42</v>
      </c>
      <c r="I11" s="31" t="s">
        <v>14</v>
      </c>
      <c r="J11" s="31" t="s">
        <v>66</v>
      </c>
      <c r="K11" s="32" t="s">
        <v>67</v>
      </c>
      <c r="L11" s="20"/>
      <c r="M11" s="30"/>
      <c r="N11" s="17" t="s">
        <v>42</v>
      </c>
      <c r="O11" s="31" t="s">
        <v>14</v>
      </c>
      <c r="P11" s="31" t="s">
        <v>66</v>
      </c>
      <c r="Q11" s="32" t="s">
        <v>67</v>
      </c>
      <c r="R11" s="1099" t="s">
        <v>15</v>
      </c>
    </row>
    <row r="12" spans="1:21" ht="15.75" customHeight="1" thickTop="1">
      <c r="A12" s="21">
        <v>1</v>
      </c>
      <c r="B12" s="43">
        <f t="shared" ref="B12:B43" si="1">IF(A12&gt;$I$9,IF(E11&gt;1,PMT($B$6/$B$8,$B$7*$B$8,-$B$5),0),0)</f>
        <v>0</v>
      </c>
      <c r="C12" s="122">
        <f>IF(B12&gt;0,B12-D12,E12*($B$6/$B$8))+E9</f>
        <v>0</v>
      </c>
      <c r="D12" s="41">
        <f>IF(A12&gt;$I$9,B12-($B$5*($B$6/$B$8)),0)</f>
        <v>0</v>
      </c>
      <c r="E12" s="67">
        <f>$B$5-D12</f>
        <v>0</v>
      </c>
      <c r="F12" s="51"/>
      <c r="G12" s="4194">
        <f>IF($B$5=0,$N$3,IF(O3&gt;0,N3,IF(O4&gt;0,N4,IF(O5&gt;0,N5,IF(O6&gt;0,N6,N7)))))</f>
        <v>0</v>
      </c>
      <c r="H12" s="34" t="s">
        <v>17</v>
      </c>
      <c r="I12" s="41">
        <f>$B$12</f>
        <v>0</v>
      </c>
      <c r="J12" s="41">
        <f>C12</f>
        <v>0</v>
      </c>
      <c r="K12" s="67">
        <f>D12</f>
        <v>0</v>
      </c>
      <c r="M12" s="4194">
        <f>'1.Datos Básicos. Product-Serv'!B7</f>
        <v>0</v>
      </c>
      <c r="N12" s="34" t="s">
        <v>17</v>
      </c>
      <c r="O12" s="41">
        <f t="shared" ref="O12:O23" si="2">IF($I$6=1,I12,0)</f>
        <v>0</v>
      </c>
      <c r="P12" s="41">
        <f t="shared" ref="P12:P23" si="3">IF($I$6=1,J12,0)</f>
        <v>0</v>
      </c>
      <c r="Q12" s="42">
        <f t="shared" ref="Q12:Q23" si="4">IF($I$6=1,K12,0)</f>
        <v>0</v>
      </c>
      <c r="R12" s="67">
        <f>$B$5-Q12</f>
        <v>0</v>
      </c>
      <c r="S12" s="51"/>
    </row>
    <row r="13" spans="1:21" ht="15.75" customHeight="1">
      <c r="A13" s="23">
        <v>2</v>
      </c>
      <c r="B13" s="43">
        <f t="shared" si="1"/>
        <v>0</v>
      </c>
      <c r="C13" s="123">
        <f t="shared" ref="C13:C71" si="5">IF(B13&gt;0,B13-D13,E13*($B$6/$B$8))</f>
        <v>0</v>
      </c>
      <c r="D13" s="43">
        <f t="shared" ref="D13:D44" si="6">IF(A13&gt;$I$9,B13-(E12*($B$6/$B$8)),0)</f>
        <v>0</v>
      </c>
      <c r="E13" s="68">
        <f t="shared" ref="E13:E44" si="7">IF((E12-D13)&gt;0,E12-D13,0)</f>
        <v>0</v>
      </c>
      <c r="F13" s="51"/>
      <c r="G13" s="4195"/>
      <c r="H13" s="9" t="s">
        <v>18</v>
      </c>
      <c r="I13" s="43">
        <f>IF($B$8=12,B13,0)</f>
        <v>0</v>
      </c>
      <c r="J13" s="43">
        <f>IF($B$8=12,C13,0)</f>
        <v>0</v>
      </c>
      <c r="K13" s="68">
        <f>IF($B$8=12,D13,0)</f>
        <v>0</v>
      </c>
      <c r="M13" s="4195"/>
      <c r="N13" s="9" t="s">
        <v>18</v>
      </c>
      <c r="O13" s="43">
        <f t="shared" si="2"/>
        <v>0</v>
      </c>
      <c r="P13" s="43">
        <f t="shared" si="3"/>
        <v>0</v>
      </c>
      <c r="Q13" s="44">
        <f t="shared" si="4"/>
        <v>0</v>
      </c>
      <c r="R13" s="68">
        <f>IF((R12-Q13)&gt;0,R12-Q13,0)</f>
        <v>0</v>
      </c>
      <c r="S13" s="51"/>
    </row>
    <row r="14" spans="1:21" ht="15.75" customHeight="1">
      <c r="A14" s="23">
        <v>3</v>
      </c>
      <c r="B14" s="43">
        <f t="shared" si="1"/>
        <v>0</v>
      </c>
      <c r="C14" s="123">
        <f t="shared" si="5"/>
        <v>0</v>
      </c>
      <c r="D14" s="43">
        <f t="shared" si="6"/>
        <v>0</v>
      </c>
      <c r="E14" s="68">
        <f t="shared" si="7"/>
        <v>0</v>
      </c>
      <c r="F14" s="51"/>
      <c r="G14" s="4195"/>
      <c r="H14" s="9" t="s">
        <v>19</v>
      </c>
      <c r="I14" s="43">
        <f>IF($B$8=12,B14,IF($B$8=6,B13,0))</f>
        <v>0</v>
      </c>
      <c r="J14" s="43">
        <f>IF($B$8=12,C14,IF($B$8=6,C13,0))</f>
        <v>0</v>
      </c>
      <c r="K14" s="68">
        <f>IF($B$8=12,D14,IF($B$8=6,D13,0))</f>
        <v>0</v>
      </c>
      <c r="M14" s="4195"/>
      <c r="N14" s="9" t="s">
        <v>19</v>
      </c>
      <c r="O14" s="43">
        <f t="shared" si="2"/>
        <v>0</v>
      </c>
      <c r="P14" s="43">
        <f t="shared" si="3"/>
        <v>0</v>
      </c>
      <c r="Q14" s="44">
        <f t="shared" si="4"/>
        <v>0</v>
      </c>
      <c r="R14" s="68">
        <f t="shared" ref="R14:R77" si="8">IF((R13-Q14)&gt;0,R13-Q14,0)</f>
        <v>0</v>
      </c>
      <c r="S14" s="51"/>
    </row>
    <row r="15" spans="1:21" ht="15.75" customHeight="1">
      <c r="A15" s="23">
        <v>4</v>
      </c>
      <c r="B15" s="43">
        <f t="shared" si="1"/>
        <v>0</v>
      </c>
      <c r="C15" s="123">
        <f t="shared" si="5"/>
        <v>0</v>
      </c>
      <c r="D15" s="43">
        <f t="shared" si="6"/>
        <v>0</v>
      </c>
      <c r="E15" s="68">
        <f t="shared" si="7"/>
        <v>0</v>
      </c>
      <c r="F15" s="51"/>
      <c r="G15" s="4195"/>
      <c r="H15" s="9" t="s">
        <v>20</v>
      </c>
      <c r="I15" s="43">
        <f>IF($B$8=12,B15,IF($B$8=4,B13,IF($B$8=6,0,IF($B$8=3,0,0))))</f>
        <v>0</v>
      </c>
      <c r="J15" s="43">
        <f>IF($B$8=12,C15,IF($B$8=4,C13,IF($B$8=6,0,IF($B$8=3,0,0))))</f>
        <v>0</v>
      </c>
      <c r="K15" s="68">
        <f>IF($B$8=12,D15,IF($B$8=4,D13,IF($B$8=6,0,IF($B$8=3,0,0))))</f>
        <v>0</v>
      </c>
      <c r="M15" s="4195"/>
      <c r="N15" s="9" t="s">
        <v>20</v>
      </c>
      <c r="O15" s="43">
        <f t="shared" si="2"/>
        <v>0</v>
      </c>
      <c r="P15" s="43">
        <f t="shared" si="3"/>
        <v>0</v>
      </c>
      <c r="Q15" s="44">
        <f t="shared" si="4"/>
        <v>0</v>
      </c>
      <c r="R15" s="68">
        <f t="shared" si="8"/>
        <v>0</v>
      </c>
      <c r="S15" s="51"/>
    </row>
    <row r="16" spans="1:21" ht="15.75" customHeight="1">
      <c r="A16" s="23">
        <v>5</v>
      </c>
      <c r="B16" s="43">
        <f t="shared" si="1"/>
        <v>0</v>
      </c>
      <c r="C16" s="123">
        <f t="shared" si="5"/>
        <v>0</v>
      </c>
      <c r="D16" s="43">
        <f t="shared" si="6"/>
        <v>0</v>
      </c>
      <c r="E16" s="68">
        <f t="shared" si="7"/>
        <v>0</v>
      </c>
      <c r="F16" s="51"/>
      <c r="G16" s="4195"/>
      <c r="H16" s="9" t="s">
        <v>21</v>
      </c>
      <c r="I16" s="43">
        <f>IF($B$8=12,B16,IF($B$8=4,0,IF($B$8=6,B14,IF($B$8=3,B13,0))))</f>
        <v>0</v>
      </c>
      <c r="J16" s="43">
        <f>IF($B$8=12,C16,IF($B$8=4,0,IF($B$8=6,C14,IF($B$8=3,C13,0))))</f>
        <v>0</v>
      </c>
      <c r="K16" s="68">
        <f>IF($B$8=12,D16,IF($B$8=4,0,IF($B$8=6,D14,IF($B$8=3,D13,0))))</f>
        <v>0</v>
      </c>
      <c r="M16" s="4195"/>
      <c r="N16" s="9" t="s">
        <v>21</v>
      </c>
      <c r="O16" s="43">
        <f t="shared" si="2"/>
        <v>0</v>
      </c>
      <c r="P16" s="43">
        <f t="shared" si="3"/>
        <v>0</v>
      </c>
      <c r="Q16" s="44">
        <f t="shared" si="4"/>
        <v>0</v>
      </c>
      <c r="R16" s="68">
        <f t="shared" si="8"/>
        <v>0</v>
      </c>
      <c r="S16" s="51"/>
    </row>
    <row r="17" spans="1:19" ht="15.75" customHeight="1">
      <c r="A17" s="23">
        <v>6</v>
      </c>
      <c r="B17" s="43">
        <f t="shared" si="1"/>
        <v>0</v>
      </c>
      <c r="C17" s="123">
        <f t="shared" si="5"/>
        <v>0</v>
      </c>
      <c r="D17" s="43">
        <f t="shared" si="6"/>
        <v>0</v>
      </c>
      <c r="E17" s="68">
        <f t="shared" si="7"/>
        <v>0</v>
      </c>
      <c r="F17" s="51"/>
      <c r="G17" s="4195"/>
      <c r="H17" s="9" t="s">
        <v>22</v>
      </c>
      <c r="I17" s="43">
        <f>IF($B$8=12,B17,IF($B$8=4,0,IF($B$8=6,0,IF($B$8=3,0,0))))</f>
        <v>0</v>
      </c>
      <c r="J17" s="43">
        <f>IF($B$8=12,C17,IF($B$8=4,0,IF($B$8=6,0,IF($B$8=3,0,0))))</f>
        <v>0</v>
      </c>
      <c r="K17" s="68">
        <f>IF($B$8=12,D17,IF($B$8=4,0,IF($B$8=6,0,IF($B$8=3,0,0))))</f>
        <v>0</v>
      </c>
      <c r="M17" s="4195"/>
      <c r="N17" s="9" t="s">
        <v>22</v>
      </c>
      <c r="O17" s="43">
        <f t="shared" si="2"/>
        <v>0</v>
      </c>
      <c r="P17" s="43">
        <f t="shared" si="3"/>
        <v>0</v>
      </c>
      <c r="Q17" s="44">
        <f t="shared" si="4"/>
        <v>0</v>
      </c>
      <c r="R17" s="68">
        <f t="shared" si="8"/>
        <v>0</v>
      </c>
      <c r="S17" s="51"/>
    </row>
    <row r="18" spans="1:19" ht="15.75" customHeight="1">
      <c r="A18" s="23">
        <v>7</v>
      </c>
      <c r="B18" s="43">
        <f t="shared" si="1"/>
        <v>0</v>
      </c>
      <c r="C18" s="123">
        <f t="shared" si="5"/>
        <v>0</v>
      </c>
      <c r="D18" s="43">
        <f t="shared" si="6"/>
        <v>0</v>
      </c>
      <c r="E18" s="68">
        <f t="shared" si="7"/>
        <v>0</v>
      </c>
      <c r="F18" s="51"/>
      <c r="G18" s="4195"/>
      <c r="H18" s="9" t="s">
        <v>23</v>
      </c>
      <c r="I18" s="43">
        <f>IF($B$8=12,B18,IF($B$8=4,B14,IF($B$8=6,B15,IF($B$8=3,0,IF($B$8=2,B13,0)))))</f>
        <v>0</v>
      </c>
      <c r="J18" s="43">
        <f>IF($B$8=12,C18,IF($B$8=4,C14,IF($B$8=6,C15,IF($B$8=3,0,IF($B$8=2,C13,0)))))</f>
        <v>0</v>
      </c>
      <c r="K18" s="68">
        <f>IF($B$8=12,D18,IF($B$8=4,D14,IF($B$8=6,D15,IF($B$8=3,0,IF($B$8=2,D13,0)))))</f>
        <v>0</v>
      </c>
      <c r="M18" s="4195"/>
      <c r="N18" s="9" t="s">
        <v>23</v>
      </c>
      <c r="O18" s="43">
        <f t="shared" si="2"/>
        <v>0</v>
      </c>
      <c r="P18" s="43">
        <f t="shared" si="3"/>
        <v>0</v>
      </c>
      <c r="Q18" s="44">
        <f t="shared" si="4"/>
        <v>0</v>
      </c>
      <c r="R18" s="68">
        <f t="shared" si="8"/>
        <v>0</v>
      </c>
      <c r="S18" s="51"/>
    </row>
    <row r="19" spans="1:19" ht="15.75" customHeight="1">
      <c r="A19" s="23">
        <v>8</v>
      </c>
      <c r="B19" s="43">
        <f t="shared" si="1"/>
        <v>0</v>
      </c>
      <c r="C19" s="123">
        <f t="shared" si="5"/>
        <v>0</v>
      </c>
      <c r="D19" s="43">
        <f t="shared" si="6"/>
        <v>0</v>
      </c>
      <c r="E19" s="68">
        <f t="shared" si="7"/>
        <v>0</v>
      </c>
      <c r="F19" s="51"/>
      <c r="G19" s="4195"/>
      <c r="H19" s="9" t="s">
        <v>24</v>
      </c>
      <c r="I19" s="43">
        <f>IF($B$8=12,B19,IF($B$8=4,0,IF($B$8=6,0,IF($B$8=3,0,0))))</f>
        <v>0</v>
      </c>
      <c r="J19" s="43">
        <f>IF($B$8=12,C19,IF($B$8=4,0,IF($B$8=6,0,IF($B$8=3,0,0))))</f>
        <v>0</v>
      </c>
      <c r="K19" s="68">
        <f>IF($B$8=12,D19,IF($B$8=4,0,IF($B$8=6,0,IF($B$8=3,0,0))))</f>
        <v>0</v>
      </c>
      <c r="M19" s="4195"/>
      <c r="N19" s="9" t="s">
        <v>24</v>
      </c>
      <c r="O19" s="43">
        <f t="shared" si="2"/>
        <v>0</v>
      </c>
      <c r="P19" s="43">
        <f t="shared" si="3"/>
        <v>0</v>
      </c>
      <c r="Q19" s="44">
        <f t="shared" si="4"/>
        <v>0</v>
      </c>
      <c r="R19" s="68">
        <f t="shared" si="8"/>
        <v>0</v>
      </c>
      <c r="S19" s="51"/>
    </row>
    <row r="20" spans="1:19" ht="15.75" customHeight="1">
      <c r="A20" s="23">
        <v>9</v>
      </c>
      <c r="B20" s="43">
        <f t="shared" si="1"/>
        <v>0</v>
      </c>
      <c r="C20" s="123">
        <f t="shared" si="5"/>
        <v>0</v>
      </c>
      <c r="D20" s="43">
        <f t="shared" si="6"/>
        <v>0</v>
      </c>
      <c r="E20" s="68">
        <f t="shared" si="7"/>
        <v>0</v>
      </c>
      <c r="F20" s="51"/>
      <c r="G20" s="4195"/>
      <c r="H20" s="9" t="s">
        <v>25</v>
      </c>
      <c r="I20" s="43">
        <f>IF($B$8=12,B20,IF($B$8=4,0,IF($B$8=6,B16,IF($B$8=3,B14,0))))</f>
        <v>0</v>
      </c>
      <c r="J20" s="43">
        <f>IF($B$8=12,C20,IF($B$8=4,0,IF($B$8=6,C16,IF($B$8=3,C14,0))))</f>
        <v>0</v>
      </c>
      <c r="K20" s="68">
        <f>IF($B$8=12,D20,IF($B$8=4,0,IF($B$8=6,D16,IF($B$8=3,D14,0))))</f>
        <v>0</v>
      </c>
      <c r="M20" s="4195"/>
      <c r="N20" s="9" t="s">
        <v>25</v>
      </c>
      <c r="O20" s="43">
        <f t="shared" si="2"/>
        <v>0</v>
      </c>
      <c r="P20" s="43">
        <f t="shared" si="3"/>
        <v>0</v>
      </c>
      <c r="Q20" s="44">
        <f t="shared" si="4"/>
        <v>0</v>
      </c>
      <c r="R20" s="68">
        <f t="shared" si="8"/>
        <v>0</v>
      </c>
      <c r="S20" s="51"/>
    </row>
    <row r="21" spans="1:19" ht="15.75" customHeight="1">
      <c r="A21" s="23">
        <v>10</v>
      </c>
      <c r="B21" s="43">
        <f t="shared" si="1"/>
        <v>0</v>
      </c>
      <c r="C21" s="123">
        <f t="shared" si="5"/>
        <v>0</v>
      </c>
      <c r="D21" s="43">
        <f t="shared" si="6"/>
        <v>0</v>
      </c>
      <c r="E21" s="68">
        <f t="shared" si="7"/>
        <v>0</v>
      </c>
      <c r="F21" s="51"/>
      <c r="G21" s="4195"/>
      <c r="H21" s="9" t="s">
        <v>26</v>
      </c>
      <c r="I21" s="43">
        <f>IF($B$8=12,B21,IF($B$8=4,B15,IF($B$8=6,0,IF($B$8=3,0,0))))</f>
        <v>0</v>
      </c>
      <c r="J21" s="43">
        <f>IF($B$8=12,C21,IF($B$8=4,C15,IF($B$8=6,0,IF($B$8=3,0,0))))</f>
        <v>0</v>
      </c>
      <c r="K21" s="68">
        <f>IF($B$8=12,D21,IF($B$8=4,D15,IF($B$8=6,0,IF($B$8=3,0,0))))</f>
        <v>0</v>
      </c>
      <c r="M21" s="4195"/>
      <c r="N21" s="9" t="s">
        <v>26</v>
      </c>
      <c r="O21" s="43">
        <f t="shared" si="2"/>
        <v>0</v>
      </c>
      <c r="P21" s="43">
        <f t="shared" si="3"/>
        <v>0</v>
      </c>
      <c r="Q21" s="44">
        <f t="shared" si="4"/>
        <v>0</v>
      </c>
      <c r="R21" s="68">
        <f t="shared" si="8"/>
        <v>0</v>
      </c>
      <c r="S21" s="51"/>
    </row>
    <row r="22" spans="1:19" ht="15.75" customHeight="1">
      <c r="A22" s="23">
        <v>11</v>
      </c>
      <c r="B22" s="43">
        <f t="shared" si="1"/>
        <v>0</v>
      </c>
      <c r="C22" s="123">
        <f t="shared" si="5"/>
        <v>0</v>
      </c>
      <c r="D22" s="43">
        <f t="shared" si="6"/>
        <v>0</v>
      </c>
      <c r="E22" s="68">
        <f t="shared" si="7"/>
        <v>0</v>
      </c>
      <c r="F22" s="51"/>
      <c r="G22" s="4195"/>
      <c r="H22" s="9" t="s">
        <v>27</v>
      </c>
      <c r="I22" s="43">
        <f>IF($B$8=12,B22,IF($B$8=4,0,IF($B$8=6,B17,IF($B$8=3,0,0))))</f>
        <v>0</v>
      </c>
      <c r="J22" s="43">
        <f>IF($B$8=12,C22,IF($B$8=4,0,IF($B$8=6,C17,IF($B$8=3,0,0))))</f>
        <v>0</v>
      </c>
      <c r="K22" s="68">
        <f>IF($B$8=12,D22,IF($B$8=4,0,IF($B$8=6,D17,IF($B$8=3,0,0))))</f>
        <v>0</v>
      </c>
      <c r="M22" s="4195"/>
      <c r="N22" s="9" t="s">
        <v>27</v>
      </c>
      <c r="O22" s="43">
        <f t="shared" si="2"/>
        <v>0</v>
      </c>
      <c r="P22" s="43">
        <f t="shared" si="3"/>
        <v>0</v>
      </c>
      <c r="Q22" s="44">
        <f t="shared" si="4"/>
        <v>0</v>
      </c>
      <c r="R22" s="68">
        <f t="shared" si="8"/>
        <v>0</v>
      </c>
      <c r="S22" s="51"/>
    </row>
    <row r="23" spans="1:19" ht="15.75" customHeight="1" thickBot="1">
      <c r="A23" s="24">
        <v>12</v>
      </c>
      <c r="B23" s="70">
        <f t="shared" si="1"/>
        <v>0</v>
      </c>
      <c r="C23" s="139">
        <f t="shared" si="5"/>
        <v>0</v>
      </c>
      <c r="D23" s="70">
        <f t="shared" si="6"/>
        <v>0</v>
      </c>
      <c r="E23" s="75">
        <f t="shared" si="7"/>
        <v>0</v>
      </c>
      <c r="F23" s="243">
        <f>SUM(D12:D23)</f>
        <v>0</v>
      </c>
      <c r="G23" s="4196"/>
      <c r="H23" s="37" t="s">
        <v>28</v>
      </c>
      <c r="I23" s="70">
        <f>IF($B$8=12,B23,IF($B$8=4,0,IF($B$8=6,0,IF($B$8=3,0,0))))</f>
        <v>0</v>
      </c>
      <c r="J23" s="70">
        <f>IF($B$8=12,C23,IF($B$8=4,0,IF($B$8=6,0,IF($B$8=3,0,0))))</f>
        <v>0</v>
      </c>
      <c r="K23" s="72">
        <f>IF($B$8=12,D23,IF($B$8=4,0,IF($B$8=6,0,IF($B$8=3,0,0))))</f>
        <v>0</v>
      </c>
      <c r="M23" s="4196"/>
      <c r="N23" s="35" t="s">
        <v>28</v>
      </c>
      <c r="O23" s="45">
        <f t="shared" si="2"/>
        <v>0</v>
      </c>
      <c r="P23" s="45">
        <f t="shared" si="3"/>
        <v>0</v>
      </c>
      <c r="Q23" s="46">
        <f t="shared" si="4"/>
        <v>0</v>
      </c>
      <c r="R23" s="75">
        <f t="shared" si="8"/>
        <v>0</v>
      </c>
      <c r="S23" s="1100">
        <f>SUM(Q12:Q23)</f>
        <v>0</v>
      </c>
    </row>
    <row r="24" spans="1:19" ht="15.75" customHeight="1">
      <c r="A24" s="23">
        <v>13</v>
      </c>
      <c r="B24" s="43">
        <f t="shared" si="1"/>
        <v>0</v>
      </c>
      <c r="C24" s="123">
        <f t="shared" si="5"/>
        <v>0</v>
      </c>
      <c r="D24" s="43">
        <f t="shared" si="6"/>
        <v>0</v>
      </c>
      <c r="E24" s="68">
        <f t="shared" si="7"/>
        <v>0</v>
      </c>
      <c r="F24" s="51"/>
      <c r="G24" s="4194">
        <f>G12+1</f>
        <v>1</v>
      </c>
      <c r="H24" s="22" t="s">
        <v>17</v>
      </c>
      <c r="I24" s="43">
        <f>IF($B$8=12,B24,IF($B$8=4,B16,IF($B$8=6,B18,IF($B$8=3,B15,IF($B$8=2,B14,IF($B$8,B13,0))))))</f>
        <v>0</v>
      </c>
      <c r="J24" s="43">
        <f>IF($B$8=12,C24,IF($B$8=4,C16,IF($B$8=6,C18,IF($B$8=3,C15,IF($B$8=2,C14,IF($B$8,C13,0))))))</f>
        <v>0</v>
      </c>
      <c r="K24" s="68">
        <f>IF($B$8=12,D24,IF($B$8=4,D16,IF($B$8=6,D18,IF($B$8=3,D15,IF($B$8=2,D14,IF($B$8,D13,0))))))</f>
        <v>0</v>
      </c>
      <c r="M24" s="4194">
        <f>M12+1</f>
        <v>1</v>
      </c>
      <c r="N24" s="9" t="s">
        <v>17</v>
      </c>
      <c r="O24" s="43">
        <f t="shared" ref="O24:O35" si="9">IF($I$6=2,I12,IF($I$6=1,I24,0))</f>
        <v>0</v>
      </c>
      <c r="P24" s="43">
        <f t="shared" ref="P24:P35" si="10">IF($I$6=2,J12,IF($I$6=1,J24,0))</f>
        <v>0</v>
      </c>
      <c r="Q24" s="44">
        <f t="shared" ref="Q24:Q35" si="11">IF($I$6=2,K12,IF($I$6=1,K24,0))</f>
        <v>0</v>
      </c>
      <c r="R24" s="68">
        <f t="shared" si="8"/>
        <v>0</v>
      </c>
      <c r="S24" s="51"/>
    </row>
    <row r="25" spans="1:19" ht="15.75" customHeight="1">
      <c r="A25" s="23">
        <v>14</v>
      </c>
      <c r="B25" s="43">
        <f t="shared" si="1"/>
        <v>0</v>
      </c>
      <c r="C25" s="123">
        <f t="shared" si="5"/>
        <v>0</v>
      </c>
      <c r="D25" s="43">
        <f t="shared" si="6"/>
        <v>0</v>
      </c>
      <c r="E25" s="68">
        <f t="shared" si="7"/>
        <v>0</v>
      </c>
      <c r="F25" s="51"/>
      <c r="G25" s="4195"/>
      <c r="H25" s="22" t="s">
        <v>18</v>
      </c>
      <c r="I25" s="43">
        <f>IF($B$8=12,B25,0)</f>
        <v>0</v>
      </c>
      <c r="J25" s="43">
        <f>IF($B$8=12,C25,0)</f>
        <v>0</v>
      </c>
      <c r="K25" s="68">
        <f>IF($B$8=12,D25,0)</f>
        <v>0</v>
      </c>
      <c r="M25" s="4195"/>
      <c r="N25" s="9" t="s">
        <v>18</v>
      </c>
      <c r="O25" s="43">
        <f t="shared" si="9"/>
        <v>0</v>
      </c>
      <c r="P25" s="43">
        <f t="shared" si="10"/>
        <v>0</v>
      </c>
      <c r="Q25" s="44">
        <f t="shared" si="11"/>
        <v>0</v>
      </c>
      <c r="R25" s="68">
        <f t="shared" si="8"/>
        <v>0</v>
      </c>
      <c r="S25" s="51"/>
    </row>
    <row r="26" spans="1:19" ht="15.75" customHeight="1">
      <c r="A26" s="23">
        <v>15</v>
      </c>
      <c r="B26" s="43">
        <f t="shared" si="1"/>
        <v>0</v>
      </c>
      <c r="C26" s="123">
        <f t="shared" si="5"/>
        <v>0</v>
      </c>
      <c r="D26" s="43">
        <f t="shared" si="6"/>
        <v>0</v>
      </c>
      <c r="E26" s="68">
        <f t="shared" si="7"/>
        <v>0</v>
      </c>
      <c r="F26" s="51"/>
      <c r="G26" s="4195"/>
      <c r="H26" s="22" t="s">
        <v>19</v>
      </c>
      <c r="I26" s="43">
        <f>IF($B$8=12,B26,IF($B$8=6,B19,0))</f>
        <v>0</v>
      </c>
      <c r="J26" s="43">
        <f>IF($B$8=12,C26,IF($B$8=6,C19,0))</f>
        <v>0</v>
      </c>
      <c r="K26" s="68">
        <f>IF($B$8=12,D26,IF($B$8=6,D19,0))</f>
        <v>0</v>
      </c>
      <c r="M26" s="4195"/>
      <c r="N26" s="9" t="s">
        <v>19</v>
      </c>
      <c r="O26" s="43">
        <f t="shared" si="9"/>
        <v>0</v>
      </c>
      <c r="P26" s="43">
        <f t="shared" si="10"/>
        <v>0</v>
      </c>
      <c r="Q26" s="44">
        <f t="shared" si="11"/>
        <v>0</v>
      </c>
      <c r="R26" s="68">
        <f t="shared" si="8"/>
        <v>0</v>
      </c>
      <c r="S26" s="51"/>
    </row>
    <row r="27" spans="1:19" ht="15.75" customHeight="1">
      <c r="A27" s="23">
        <v>16</v>
      </c>
      <c r="B27" s="43">
        <f t="shared" si="1"/>
        <v>0</v>
      </c>
      <c r="C27" s="123">
        <f t="shared" si="5"/>
        <v>0</v>
      </c>
      <c r="D27" s="43">
        <f t="shared" si="6"/>
        <v>0</v>
      </c>
      <c r="E27" s="68">
        <f t="shared" si="7"/>
        <v>0</v>
      </c>
      <c r="F27" s="51"/>
      <c r="G27" s="4195"/>
      <c r="H27" s="22" t="s">
        <v>20</v>
      </c>
      <c r="I27" s="43">
        <f>IF($B$8=12,B27,IF($B$8=4,B17,IF($B$8=6,0,IF($B$8=3,0,0))))</f>
        <v>0</v>
      </c>
      <c r="J27" s="43">
        <f>IF($B$8=12,C27,IF($B$8=4,C17,IF($B$8=6,0,IF($B$8=3,0,0))))</f>
        <v>0</v>
      </c>
      <c r="K27" s="68">
        <f>IF($B$8=12,D27,IF($B$8=4,D17,IF($B$8=6,0,IF($B$8=3,0,0))))</f>
        <v>0</v>
      </c>
      <c r="M27" s="4195"/>
      <c r="N27" s="9" t="s">
        <v>20</v>
      </c>
      <c r="O27" s="43">
        <f t="shared" si="9"/>
        <v>0</v>
      </c>
      <c r="P27" s="43">
        <f t="shared" si="10"/>
        <v>0</v>
      </c>
      <c r="Q27" s="44">
        <f t="shared" si="11"/>
        <v>0</v>
      </c>
      <c r="R27" s="68">
        <f t="shared" si="8"/>
        <v>0</v>
      </c>
      <c r="S27" s="51"/>
    </row>
    <row r="28" spans="1:19" ht="15.75" customHeight="1">
      <c r="A28" s="23">
        <v>17</v>
      </c>
      <c r="B28" s="43">
        <f t="shared" si="1"/>
        <v>0</v>
      </c>
      <c r="C28" s="123">
        <f t="shared" si="5"/>
        <v>0</v>
      </c>
      <c r="D28" s="43">
        <f t="shared" si="6"/>
        <v>0</v>
      </c>
      <c r="E28" s="68">
        <f t="shared" si="7"/>
        <v>0</v>
      </c>
      <c r="F28" s="51"/>
      <c r="G28" s="4195"/>
      <c r="H28" s="22" t="s">
        <v>21</v>
      </c>
      <c r="I28" s="43">
        <f>IF($B$8=12,B28,IF($B$8=4,0,IF($B$8=6,B20,IF($B$8=3,B16,0))))</f>
        <v>0</v>
      </c>
      <c r="J28" s="43">
        <f>IF($B$8=12,C28,IF($B$8=4,0,IF($B$8=6,C20,IF($B$8=3,C16,0))))</f>
        <v>0</v>
      </c>
      <c r="K28" s="68">
        <f>IF($B$8=12,D28,IF($B$8=4,0,IF($B$8=6,D20,IF($B$8=3,D16,0))))</f>
        <v>0</v>
      </c>
      <c r="M28" s="4195"/>
      <c r="N28" s="9" t="s">
        <v>21</v>
      </c>
      <c r="O28" s="43">
        <f t="shared" si="9"/>
        <v>0</v>
      </c>
      <c r="P28" s="43">
        <f t="shared" si="10"/>
        <v>0</v>
      </c>
      <c r="Q28" s="44">
        <f t="shared" si="11"/>
        <v>0</v>
      </c>
      <c r="R28" s="68">
        <f t="shared" si="8"/>
        <v>0</v>
      </c>
      <c r="S28" s="51"/>
    </row>
    <row r="29" spans="1:19" ht="15.75" customHeight="1">
      <c r="A29" s="23">
        <v>18</v>
      </c>
      <c r="B29" s="43">
        <f t="shared" si="1"/>
        <v>0</v>
      </c>
      <c r="C29" s="123">
        <f t="shared" si="5"/>
        <v>0</v>
      </c>
      <c r="D29" s="43">
        <f t="shared" si="6"/>
        <v>0</v>
      </c>
      <c r="E29" s="68">
        <f t="shared" si="7"/>
        <v>0</v>
      </c>
      <c r="F29" s="51"/>
      <c r="G29" s="4195"/>
      <c r="H29" s="22" t="s">
        <v>22</v>
      </c>
      <c r="I29" s="43">
        <f>IF($B$8=12,B29,IF($B$8=4,0,IF($B$8=6,0,IF($B$8=3,0,0))))</f>
        <v>0</v>
      </c>
      <c r="J29" s="43">
        <f>IF($B$8=12,C29,IF($B$8=4,0,IF($B$8=6,0,IF($B$8=3,0,0))))</f>
        <v>0</v>
      </c>
      <c r="K29" s="68">
        <f>IF($B$8=12,D29,IF($B$8=4,0,IF($B$8=6,0,IF($B$8=3,0,0))))</f>
        <v>0</v>
      </c>
      <c r="M29" s="4195"/>
      <c r="N29" s="9" t="s">
        <v>22</v>
      </c>
      <c r="O29" s="43">
        <f t="shared" si="9"/>
        <v>0</v>
      </c>
      <c r="P29" s="43">
        <f t="shared" si="10"/>
        <v>0</v>
      </c>
      <c r="Q29" s="44">
        <f t="shared" si="11"/>
        <v>0</v>
      </c>
      <c r="R29" s="68">
        <f t="shared" si="8"/>
        <v>0</v>
      </c>
      <c r="S29" s="51"/>
    </row>
    <row r="30" spans="1:19" ht="15.75" customHeight="1">
      <c r="A30" s="23">
        <v>19</v>
      </c>
      <c r="B30" s="43">
        <f t="shared" si="1"/>
        <v>0</v>
      </c>
      <c r="C30" s="123">
        <f t="shared" si="5"/>
        <v>0</v>
      </c>
      <c r="D30" s="43">
        <f t="shared" si="6"/>
        <v>0</v>
      </c>
      <c r="E30" s="68">
        <f t="shared" si="7"/>
        <v>0</v>
      </c>
      <c r="F30" s="51"/>
      <c r="G30" s="4195"/>
      <c r="H30" s="22" t="s">
        <v>23</v>
      </c>
      <c r="I30" s="43">
        <f>IF($B$8=12,B30,IF($B$8=4,B18,IF($B$8=6,B21,IF($B$8=3,0,IF($B$8=2,B15,0)))))</f>
        <v>0</v>
      </c>
      <c r="J30" s="43">
        <f>IF($B$8=12,C30,IF($B$8=4,C18,IF($B$8=6,C21,IF($B$8=3,0,IF($B$8=2,C15,0)))))</f>
        <v>0</v>
      </c>
      <c r="K30" s="68">
        <f>IF($B$8=12,D30,IF($B$8=4,D18,IF($B$8=6,D21,IF($B$8=3,0,IF($B$8=2,D15,0)))))</f>
        <v>0</v>
      </c>
      <c r="M30" s="4195"/>
      <c r="N30" s="9" t="s">
        <v>23</v>
      </c>
      <c r="O30" s="43">
        <f t="shared" si="9"/>
        <v>0</v>
      </c>
      <c r="P30" s="43">
        <f t="shared" si="10"/>
        <v>0</v>
      </c>
      <c r="Q30" s="44">
        <f t="shared" si="11"/>
        <v>0</v>
      </c>
      <c r="R30" s="68">
        <f t="shared" si="8"/>
        <v>0</v>
      </c>
      <c r="S30" s="51"/>
    </row>
    <row r="31" spans="1:19" ht="15.75" customHeight="1">
      <c r="A31" s="23">
        <v>20</v>
      </c>
      <c r="B31" s="43">
        <f t="shared" si="1"/>
        <v>0</v>
      </c>
      <c r="C31" s="123">
        <f t="shared" si="5"/>
        <v>0</v>
      </c>
      <c r="D31" s="43">
        <f t="shared" si="6"/>
        <v>0</v>
      </c>
      <c r="E31" s="68">
        <f t="shared" si="7"/>
        <v>0</v>
      </c>
      <c r="F31" s="51"/>
      <c r="G31" s="4195"/>
      <c r="H31" s="22" t="s">
        <v>24</v>
      </c>
      <c r="I31" s="43">
        <f>IF($B$8=12,B31,IF($B$8=4,0,IF($B$8=6,0,IF($B$8=3,0,0))))</f>
        <v>0</v>
      </c>
      <c r="J31" s="43">
        <f>IF($B$8=12,C31,IF($B$8=4,0,IF($B$8=6,0,IF($B$8=3,0,0))))</f>
        <v>0</v>
      </c>
      <c r="K31" s="68">
        <f>IF($B$8=12,D31,IF($B$8=4,0,IF($B$8=6,0,IF($B$8=3,0,0))))</f>
        <v>0</v>
      </c>
      <c r="M31" s="4195"/>
      <c r="N31" s="9" t="s">
        <v>24</v>
      </c>
      <c r="O31" s="43">
        <f t="shared" si="9"/>
        <v>0</v>
      </c>
      <c r="P31" s="43">
        <f t="shared" si="10"/>
        <v>0</v>
      </c>
      <c r="Q31" s="44">
        <f t="shared" si="11"/>
        <v>0</v>
      </c>
      <c r="R31" s="68">
        <f t="shared" si="8"/>
        <v>0</v>
      </c>
      <c r="S31" s="51"/>
    </row>
    <row r="32" spans="1:19" ht="15.75" customHeight="1">
      <c r="A32" s="23">
        <v>21</v>
      </c>
      <c r="B32" s="43">
        <f t="shared" si="1"/>
        <v>0</v>
      </c>
      <c r="C32" s="123">
        <f t="shared" si="5"/>
        <v>0</v>
      </c>
      <c r="D32" s="43">
        <f t="shared" si="6"/>
        <v>0</v>
      </c>
      <c r="E32" s="68">
        <f t="shared" si="7"/>
        <v>0</v>
      </c>
      <c r="F32" s="51"/>
      <c r="G32" s="4195"/>
      <c r="H32" s="22" t="s">
        <v>25</v>
      </c>
      <c r="I32" s="43">
        <f>IF($B$8=12,B32,IF($B$8=4,0,IF($B$8=6,B22,IF($B$8=3,B17,0))))</f>
        <v>0</v>
      </c>
      <c r="J32" s="43">
        <f>IF($B$8=12,C32,IF($B$8=4,0,IF($B$8=6,C22,IF($B$8=3,C17,0))))</f>
        <v>0</v>
      </c>
      <c r="K32" s="68">
        <f>IF($B$8=12,D32,IF($B$8=4,0,IF($B$8=6,D22,IF($B$8=3,D17,0))))</f>
        <v>0</v>
      </c>
      <c r="M32" s="4195"/>
      <c r="N32" s="9" t="s">
        <v>25</v>
      </c>
      <c r="O32" s="43">
        <f t="shared" si="9"/>
        <v>0</v>
      </c>
      <c r="P32" s="43">
        <f t="shared" si="10"/>
        <v>0</v>
      </c>
      <c r="Q32" s="44">
        <f t="shared" si="11"/>
        <v>0</v>
      </c>
      <c r="R32" s="68">
        <f t="shared" si="8"/>
        <v>0</v>
      </c>
      <c r="S32" s="51"/>
    </row>
    <row r="33" spans="1:19" ht="15.75" customHeight="1">
      <c r="A33" s="23">
        <v>22</v>
      </c>
      <c r="B33" s="43">
        <f t="shared" si="1"/>
        <v>0</v>
      </c>
      <c r="C33" s="123">
        <f t="shared" si="5"/>
        <v>0</v>
      </c>
      <c r="D33" s="43">
        <f t="shared" si="6"/>
        <v>0</v>
      </c>
      <c r="E33" s="68">
        <f t="shared" si="7"/>
        <v>0</v>
      </c>
      <c r="F33" s="51"/>
      <c r="G33" s="4195"/>
      <c r="H33" s="22" t="s">
        <v>26</v>
      </c>
      <c r="I33" s="43">
        <f>IF($B$8=12,B33,IF($B$8=4,B19,IF($B$8=6,0,IF($B$8=3,0,0))))</f>
        <v>0</v>
      </c>
      <c r="J33" s="43">
        <f>IF($B$8=12,C33,IF($B$8=4,C19,IF($B$8=6,0,IF($B$8=3,0,0))))</f>
        <v>0</v>
      </c>
      <c r="K33" s="68">
        <f>IF($B$8=12,D33,IF($B$8=4,D19,IF($B$8=6,0,IF($B$8=3,0,0))))</f>
        <v>0</v>
      </c>
      <c r="M33" s="4195"/>
      <c r="N33" s="9" t="s">
        <v>26</v>
      </c>
      <c r="O33" s="43">
        <f t="shared" si="9"/>
        <v>0</v>
      </c>
      <c r="P33" s="43">
        <f t="shared" si="10"/>
        <v>0</v>
      </c>
      <c r="Q33" s="44">
        <f t="shared" si="11"/>
        <v>0</v>
      </c>
      <c r="R33" s="68">
        <f t="shared" si="8"/>
        <v>0</v>
      </c>
      <c r="S33" s="51"/>
    </row>
    <row r="34" spans="1:19" ht="15.75" customHeight="1">
      <c r="A34" s="23">
        <v>23</v>
      </c>
      <c r="B34" s="43">
        <f t="shared" si="1"/>
        <v>0</v>
      </c>
      <c r="C34" s="123">
        <f t="shared" si="5"/>
        <v>0</v>
      </c>
      <c r="D34" s="43">
        <f t="shared" si="6"/>
        <v>0</v>
      </c>
      <c r="E34" s="68">
        <f t="shared" si="7"/>
        <v>0</v>
      </c>
      <c r="F34" s="51"/>
      <c r="G34" s="4195"/>
      <c r="H34" s="22" t="s">
        <v>27</v>
      </c>
      <c r="I34" s="43">
        <f>IF($B$8=12,B34,IF($B$8=4,0,IF($B$8=6,B23,IF($B$8=3,0,0))))</f>
        <v>0</v>
      </c>
      <c r="J34" s="43">
        <f>IF($B$8=12,C34,IF($B$8=4,0,IF($B$8=6,C23,IF($B$8=3,0,0))))</f>
        <v>0</v>
      </c>
      <c r="K34" s="68">
        <f>IF($B$8=12,D34,IF($B$8=4,0,IF($B$8=6,D23,IF($B$8=3,0,0))))</f>
        <v>0</v>
      </c>
      <c r="M34" s="4195"/>
      <c r="N34" s="9" t="s">
        <v>27</v>
      </c>
      <c r="O34" s="43">
        <f t="shared" si="9"/>
        <v>0</v>
      </c>
      <c r="P34" s="43">
        <f t="shared" si="10"/>
        <v>0</v>
      </c>
      <c r="Q34" s="44">
        <f t="shared" si="11"/>
        <v>0</v>
      </c>
      <c r="R34" s="68">
        <f t="shared" si="8"/>
        <v>0</v>
      </c>
      <c r="S34" s="51"/>
    </row>
    <row r="35" spans="1:19" ht="15.75" customHeight="1" thickBot="1">
      <c r="A35" s="24">
        <v>24</v>
      </c>
      <c r="B35" s="70">
        <f t="shared" si="1"/>
        <v>0</v>
      </c>
      <c r="C35" s="139">
        <f t="shared" si="5"/>
        <v>0</v>
      </c>
      <c r="D35" s="70">
        <f t="shared" si="6"/>
        <v>0</v>
      </c>
      <c r="E35" s="75">
        <f t="shared" si="7"/>
        <v>0</v>
      </c>
      <c r="F35" s="243">
        <f>SUM(D24:D35)</f>
        <v>0</v>
      </c>
      <c r="G35" s="4196"/>
      <c r="H35" s="25" t="s">
        <v>28</v>
      </c>
      <c r="I35" s="70">
        <f>IF($B$8=12,B35,IF($B$8=4,0,IF($B$8=6,0,IF($B$8=3,0,0))))</f>
        <v>0</v>
      </c>
      <c r="J35" s="70">
        <f>IF($B$8=12,C35,IF($B$8=4,0,IF($B$8=6,0,IF($B$8=3,0,0))))</f>
        <v>0</v>
      </c>
      <c r="K35" s="72">
        <f>IF($B$8=12,D35,IF($B$8=4,0,IF($B$8=6,0,IF($B$8=3,0,0))))</f>
        <v>0</v>
      </c>
      <c r="M35" s="4196"/>
      <c r="N35" s="35" t="s">
        <v>28</v>
      </c>
      <c r="O35" s="43">
        <f t="shared" si="9"/>
        <v>0</v>
      </c>
      <c r="P35" s="43">
        <f t="shared" si="10"/>
        <v>0</v>
      </c>
      <c r="Q35" s="46">
        <f t="shared" si="11"/>
        <v>0</v>
      </c>
      <c r="R35" s="75">
        <f t="shared" si="8"/>
        <v>0</v>
      </c>
      <c r="S35" s="1100">
        <f>SUM(Q24:Q35)</f>
        <v>0</v>
      </c>
    </row>
    <row r="36" spans="1:19" ht="15.75" customHeight="1">
      <c r="A36" s="23">
        <v>25</v>
      </c>
      <c r="B36" s="43">
        <f t="shared" si="1"/>
        <v>0</v>
      </c>
      <c r="C36" s="123">
        <f t="shared" si="5"/>
        <v>0</v>
      </c>
      <c r="D36" s="43">
        <f t="shared" si="6"/>
        <v>0</v>
      </c>
      <c r="E36" s="68">
        <f t="shared" si="7"/>
        <v>0</v>
      </c>
      <c r="F36" s="51"/>
      <c r="G36" s="4194">
        <f>G24+1</f>
        <v>2</v>
      </c>
      <c r="H36" s="22" t="s">
        <v>17</v>
      </c>
      <c r="I36" s="43">
        <f>IF($B$8=12,B36,IF($B$8=4,B20,IF($B$8=6,B24,IF($B$8=3,B18,IF($B$8=2,B16,IF($B$8=1,B14,0))))))</f>
        <v>0</v>
      </c>
      <c r="J36" s="43">
        <f>IF($B$8=12,C36,IF($B$8=4,C20,IF($B$8=6,C24,IF($B$8=3,C18,IF($B$8=2,C16,IF($B$8=1,C14,0))))))</f>
        <v>0</v>
      </c>
      <c r="K36" s="68">
        <f>IF($B$8=12,D36,IF($B$8=4,D20,IF($B$8=6,D24,IF($B$8=3,D18,IF($B$8=2,D16,IF($B$8=1,D14,0))))))</f>
        <v>0</v>
      </c>
      <c r="M36" s="4194">
        <f>M12+2</f>
        <v>2</v>
      </c>
      <c r="N36" s="9" t="s">
        <v>17</v>
      </c>
      <c r="O36" s="76">
        <f t="shared" ref="O36:O47" si="12">IF($I$6=3,I12,IF($I$6=2,I24,IF($I$6=1,I36,0)))</f>
        <v>0</v>
      </c>
      <c r="P36" s="76">
        <f t="shared" ref="P36:P47" si="13">IF($I$6=3,J12,IF($I$6=2,J24,IF($I$6=1,J36,0)))</f>
        <v>0</v>
      </c>
      <c r="Q36" s="77">
        <f t="shared" ref="Q36:Q47" si="14">IF($I$6=3,K12,IF($I$6=2,K24,IF($I$6=1,K36,0)))</f>
        <v>0</v>
      </c>
      <c r="R36" s="68">
        <f t="shared" si="8"/>
        <v>0</v>
      </c>
      <c r="S36" s="51"/>
    </row>
    <row r="37" spans="1:19" ht="15.75" customHeight="1">
      <c r="A37" s="23">
        <v>26</v>
      </c>
      <c r="B37" s="43">
        <f t="shared" si="1"/>
        <v>0</v>
      </c>
      <c r="C37" s="123">
        <f t="shared" si="5"/>
        <v>0</v>
      </c>
      <c r="D37" s="43">
        <f t="shared" si="6"/>
        <v>0</v>
      </c>
      <c r="E37" s="68">
        <f t="shared" si="7"/>
        <v>0</v>
      </c>
      <c r="F37" s="51"/>
      <c r="G37" s="4195"/>
      <c r="H37" s="22" t="s">
        <v>18</v>
      </c>
      <c r="I37" s="43">
        <f>IF($B$8=12,B37,0)</f>
        <v>0</v>
      </c>
      <c r="J37" s="43">
        <f>IF($B$8=12,C37,0)</f>
        <v>0</v>
      </c>
      <c r="K37" s="68">
        <f>IF($B$8=12,D37,0)</f>
        <v>0</v>
      </c>
      <c r="M37" s="4195"/>
      <c r="N37" s="9" t="s">
        <v>18</v>
      </c>
      <c r="O37" s="43">
        <f t="shared" si="12"/>
        <v>0</v>
      </c>
      <c r="P37" s="43">
        <f t="shared" si="13"/>
        <v>0</v>
      </c>
      <c r="Q37" s="44">
        <f t="shared" si="14"/>
        <v>0</v>
      </c>
      <c r="R37" s="68">
        <f t="shared" si="8"/>
        <v>0</v>
      </c>
      <c r="S37" s="51"/>
    </row>
    <row r="38" spans="1:19" ht="15.75" customHeight="1">
      <c r="A38" s="23">
        <v>27</v>
      </c>
      <c r="B38" s="43">
        <f t="shared" si="1"/>
        <v>0</v>
      </c>
      <c r="C38" s="123">
        <f t="shared" si="5"/>
        <v>0</v>
      </c>
      <c r="D38" s="43">
        <f t="shared" si="6"/>
        <v>0</v>
      </c>
      <c r="E38" s="68">
        <f t="shared" si="7"/>
        <v>0</v>
      </c>
      <c r="F38" s="51"/>
      <c r="G38" s="4195"/>
      <c r="H38" s="22" t="s">
        <v>19</v>
      </c>
      <c r="I38" s="43">
        <f>IF($B$8=12,B38,IF($B$8=6,B25,0))</f>
        <v>0</v>
      </c>
      <c r="J38" s="43">
        <f>IF($B$8=12,C38,IF($B$8=6,C25,0))</f>
        <v>0</v>
      </c>
      <c r="K38" s="68">
        <f>IF($B$8=12,D38,IF($B$8=6,D25,0))</f>
        <v>0</v>
      </c>
      <c r="M38" s="4195"/>
      <c r="N38" s="9" t="s">
        <v>19</v>
      </c>
      <c r="O38" s="43">
        <f t="shared" si="12"/>
        <v>0</v>
      </c>
      <c r="P38" s="43">
        <f t="shared" si="13"/>
        <v>0</v>
      </c>
      <c r="Q38" s="44">
        <f t="shared" si="14"/>
        <v>0</v>
      </c>
      <c r="R38" s="68">
        <f t="shared" si="8"/>
        <v>0</v>
      </c>
      <c r="S38" s="51"/>
    </row>
    <row r="39" spans="1:19" ht="15.75" customHeight="1">
      <c r="A39" s="23">
        <v>28</v>
      </c>
      <c r="B39" s="43">
        <f t="shared" si="1"/>
        <v>0</v>
      </c>
      <c r="C39" s="123">
        <f t="shared" si="5"/>
        <v>0</v>
      </c>
      <c r="D39" s="43">
        <f t="shared" si="6"/>
        <v>0</v>
      </c>
      <c r="E39" s="68">
        <f t="shared" si="7"/>
        <v>0</v>
      </c>
      <c r="F39" s="51"/>
      <c r="G39" s="4195"/>
      <c r="H39" s="22" t="s">
        <v>20</v>
      </c>
      <c r="I39" s="43">
        <f>IF($B$8=12,B39,IF($B$8=4,B21,IF($B$8=6,0,IF($B$8=3,0,0))))</f>
        <v>0</v>
      </c>
      <c r="J39" s="43">
        <f>IF($B$8=12,C39,IF($B$8=4,C21,IF($B$8=6,0,IF($B$8=3,0,0))))</f>
        <v>0</v>
      </c>
      <c r="K39" s="68">
        <f>IF($B$8=12,D39,IF($B$8=4,D21,IF($B$8=6,0,IF($B$8=3,0,0))))</f>
        <v>0</v>
      </c>
      <c r="M39" s="4195"/>
      <c r="N39" s="9" t="s">
        <v>20</v>
      </c>
      <c r="O39" s="43">
        <f t="shared" si="12"/>
        <v>0</v>
      </c>
      <c r="P39" s="43">
        <f t="shared" si="13"/>
        <v>0</v>
      </c>
      <c r="Q39" s="44">
        <f t="shared" si="14"/>
        <v>0</v>
      </c>
      <c r="R39" s="68">
        <f t="shared" si="8"/>
        <v>0</v>
      </c>
      <c r="S39" s="51"/>
    </row>
    <row r="40" spans="1:19" ht="15.75" customHeight="1">
      <c r="A40" s="23">
        <v>29</v>
      </c>
      <c r="B40" s="43">
        <f t="shared" si="1"/>
        <v>0</v>
      </c>
      <c r="C40" s="123">
        <f t="shared" si="5"/>
        <v>0</v>
      </c>
      <c r="D40" s="43">
        <f t="shared" si="6"/>
        <v>0</v>
      </c>
      <c r="E40" s="68">
        <f t="shared" si="7"/>
        <v>0</v>
      </c>
      <c r="F40" s="51"/>
      <c r="G40" s="4195"/>
      <c r="H40" s="22" t="s">
        <v>21</v>
      </c>
      <c r="I40" s="43">
        <f>IF($B$8=12,B40,IF($B$8=4,0,IF($B$8=6,B26,IF($B$8=3,B19,0))))</f>
        <v>0</v>
      </c>
      <c r="J40" s="43">
        <f>IF($B$8=12,C40,IF($B$8=4,0,IF($B$8=6,C26,IF($B$8=3,C19,0))))</f>
        <v>0</v>
      </c>
      <c r="K40" s="68">
        <f>IF($B$8=12,D40,IF($B$8=4,0,IF($B$8=6,D26,IF($B$8=3,D19,0))))</f>
        <v>0</v>
      </c>
      <c r="M40" s="4195"/>
      <c r="N40" s="9" t="s">
        <v>21</v>
      </c>
      <c r="O40" s="43">
        <f t="shared" si="12"/>
        <v>0</v>
      </c>
      <c r="P40" s="43">
        <f t="shared" si="13"/>
        <v>0</v>
      </c>
      <c r="Q40" s="44">
        <f t="shared" si="14"/>
        <v>0</v>
      </c>
      <c r="R40" s="68">
        <f t="shared" si="8"/>
        <v>0</v>
      </c>
      <c r="S40" s="51"/>
    </row>
    <row r="41" spans="1:19" ht="15.75" customHeight="1">
      <c r="A41" s="23">
        <v>30</v>
      </c>
      <c r="B41" s="43">
        <f t="shared" si="1"/>
        <v>0</v>
      </c>
      <c r="C41" s="123">
        <f t="shared" si="5"/>
        <v>0</v>
      </c>
      <c r="D41" s="43">
        <f t="shared" si="6"/>
        <v>0</v>
      </c>
      <c r="E41" s="68">
        <f t="shared" si="7"/>
        <v>0</v>
      </c>
      <c r="F41" s="51"/>
      <c r="G41" s="4195"/>
      <c r="H41" s="22" t="s">
        <v>22</v>
      </c>
      <c r="I41" s="43">
        <f>IF($B$8=12,B41,IF($B$8=4,0,IF($B$8=6,0,IF($B$8=3,0,0))))</f>
        <v>0</v>
      </c>
      <c r="J41" s="43">
        <f>IF($B$8=12,C41,IF($B$8=4,0,IF($B$8=6,0,IF($B$8=3,0,0))))</f>
        <v>0</v>
      </c>
      <c r="K41" s="68">
        <f>IF($B$8=12,D41,IF($B$8=4,0,IF($B$8=6,0,IF($B$8=3,0,0))))</f>
        <v>0</v>
      </c>
      <c r="M41" s="4195"/>
      <c r="N41" s="9" t="s">
        <v>22</v>
      </c>
      <c r="O41" s="43">
        <f t="shared" si="12"/>
        <v>0</v>
      </c>
      <c r="P41" s="43">
        <f t="shared" si="13"/>
        <v>0</v>
      </c>
      <c r="Q41" s="44">
        <f t="shared" si="14"/>
        <v>0</v>
      </c>
      <c r="R41" s="68">
        <f t="shared" si="8"/>
        <v>0</v>
      </c>
      <c r="S41" s="51"/>
    </row>
    <row r="42" spans="1:19" ht="15.75" customHeight="1">
      <c r="A42" s="23">
        <v>31</v>
      </c>
      <c r="B42" s="43">
        <f t="shared" si="1"/>
        <v>0</v>
      </c>
      <c r="C42" s="123">
        <f t="shared" si="5"/>
        <v>0</v>
      </c>
      <c r="D42" s="43">
        <f t="shared" si="6"/>
        <v>0</v>
      </c>
      <c r="E42" s="68">
        <f t="shared" si="7"/>
        <v>0</v>
      </c>
      <c r="F42" s="51"/>
      <c r="G42" s="4195"/>
      <c r="H42" s="22" t="s">
        <v>23</v>
      </c>
      <c r="I42" s="43">
        <f>IF($B$8=12,B42,IF($B$8=4,B22,IF($B$8=6,B27,IF($B$8=3,0,IF($B$8=2,B17,0)))))</f>
        <v>0</v>
      </c>
      <c r="J42" s="43">
        <f>IF($B$8=12,C42,IF($B$8=4,C22,IF($B$8=6,C27,IF($B$8=3,0,IF($B$8=2,C17,0)))))</f>
        <v>0</v>
      </c>
      <c r="K42" s="68">
        <f>IF($B$8=12,D42,IF($B$8=4,D22,IF($B$8=6,D27,IF($B$8=3,0,IF($B$8=2,D17,0)))))</f>
        <v>0</v>
      </c>
      <c r="M42" s="4195"/>
      <c r="N42" s="9" t="s">
        <v>23</v>
      </c>
      <c r="O42" s="43">
        <f t="shared" si="12"/>
        <v>0</v>
      </c>
      <c r="P42" s="43">
        <f t="shared" si="13"/>
        <v>0</v>
      </c>
      <c r="Q42" s="44">
        <f t="shared" si="14"/>
        <v>0</v>
      </c>
      <c r="R42" s="68">
        <f t="shared" si="8"/>
        <v>0</v>
      </c>
      <c r="S42" s="51"/>
    </row>
    <row r="43" spans="1:19" ht="15.75" customHeight="1">
      <c r="A43" s="23">
        <v>32</v>
      </c>
      <c r="B43" s="43">
        <f t="shared" si="1"/>
        <v>0</v>
      </c>
      <c r="C43" s="123">
        <f t="shared" si="5"/>
        <v>0</v>
      </c>
      <c r="D43" s="43">
        <f t="shared" si="6"/>
        <v>0</v>
      </c>
      <c r="E43" s="68">
        <f t="shared" si="7"/>
        <v>0</v>
      </c>
      <c r="F43" s="51"/>
      <c r="G43" s="4195"/>
      <c r="H43" s="22" t="s">
        <v>24</v>
      </c>
      <c r="I43" s="43">
        <f>IF($B$8=12,B43,IF($B$8=4,0,IF($B$8=6,0,IF($B$8=3,0,0))))</f>
        <v>0</v>
      </c>
      <c r="J43" s="43">
        <f>IF($B$8=12,C43,IF($B$8=4,0,IF($B$8=6,0,IF($B$8=3,0,0))))</f>
        <v>0</v>
      </c>
      <c r="K43" s="68">
        <f>IF($B$8=12,D43,IF($B$8=4,0,IF($B$8=6,0,IF($B$8=3,0,0))))</f>
        <v>0</v>
      </c>
      <c r="M43" s="4195"/>
      <c r="N43" s="9" t="s">
        <v>24</v>
      </c>
      <c r="O43" s="43">
        <f t="shared" si="12"/>
        <v>0</v>
      </c>
      <c r="P43" s="43">
        <f t="shared" si="13"/>
        <v>0</v>
      </c>
      <c r="Q43" s="44">
        <f t="shared" si="14"/>
        <v>0</v>
      </c>
      <c r="R43" s="68">
        <f t="shared" si="8"/>
        <v>0</v>
      </c>
      <c r="S43" s="51"/>
    </row>
    <row r="44" spans="1:19" ht="15.75" customHeight="1">
      <c r="A44" s="23">
        <v>33</v>
      </c>
      <c r="B44" s="43">
        <f t="shared" ref="B44:B71" si="15">IF(A44&gt;$I$9,IF(E43&gt;1,PMT($B$6/$B$8,$B$7*$B$8,-$B$5),0),0)</f>
        <v>0</v>
      </c>
      <c r="C44" s="123">
        <f t="shared" si="5"/>
        <v>0</v>
      </c>
      <c r="D44" s="43">
        <f t="shared" si="6"/>
        <v>0</v>
      </c>
      <c r="E44" s="68">
        <f t="shared" si="7"/>
        <v>0</v>
      </c>
      <c r="F44" s="51"/>
      <c r="G44" s="4195"/>
      <c r="H44" s="22" t="s">
        <v>25</v>
      </c>
      <c r="I44" s="43">
        <f>IF($B$8=12,B44,IF($B$8=4,0,IF($B$8=6,B28,IF($B$8=3,B20,0))))</f>
        <v>0</v>
      </c>
      <c r="J44" s="43">
        <f>IF($B$8=12,C44,IF($B$8=4,0,IF($B$8=6,C28,IF($B$8=3,C20,0))))</f>
        <v>0</v>
      </c>
      <c r="K44" s="68">
        <f>IF($B$8=12,D44,IF($B$8=4,0,IF($B$8=6,D28,IF($B$8=3,D20,0))))</f>
        <v>0</v>
      </c>
      <c r="M44" s="4195"/>
      <c r="N44" s="9" t="s">
        <v>25</v>
      </c>
      <c r="O44" s="43">
        <f t="shared" si="12"/>
        <v>0</v>
      </c>
      <c r="P44" s="43">
        <f t="shared" si="13"/>
        <v>0</v>
      </c>
      <c r="Q44" s="44">
        <f t="shared" si="14"/>
        <v>0</v>
      </c>
      <c r="R44" s="68">
        <f t="shared" si="8"/>
        <v>0</v>
      </c>
      <c r="S44" s="51"/>
    </row>
    <row r="45" spans="1:19" ht="15.75" customHeight="1">
      <c r="A45" s="23">
        <v>34</v>
      </c>
      <c r="B45" s="43">
        <f t="shared" si="15"/>
        <v>0</v>
      </c>
      <c r="C45" s="123">
        <f t="shared" si="5"/>
        <v>0</v>
      </c>
      <c r="D45" s="43">
        <f t="shared" ref="D45:D71" si="16">IF(A45&gt;$I$9,B45-(E44*($B$6/$B$8)),0)</f>
        <v>0</v>
      </c>
      <c r="E45" s="68">
        <f t="shared" ref="E45:E71" si="17">IF((E44-D45)&gt;0,E44-D45,0)</f>
        <v>0</v>
      </c>
      <c r="F45" s="51"/>
      <c r="G45" s="4195"/>
      <c r="H45" s="22" t="s">
        <v>26</v>
      </c>
      <c r="I45" s="43">
        <f>IF($B$8=12,B45,IF($B$8=4,B23,IF($B$8=6,0,IF($B$8=3,0,0))))</f>
        <v>0</v>
      </c>
      <c r="J45" s="43">
        <f>IF($B$8=12,C45,IF($B$8=4,C23,IF($B$8=6,0,IF($B$8=3,0,0))))</f>
        <v>0</v>
      </c>
      <c r="K45" s="68">
        <f>IF($B$8=12,D45,IF($B$8=4,D23,IF($B$8=6,0,IF($B$8=3,0,0))))</f>
        <v>0</v>
      </c>
      <c r="M45" s="4195"/>
      <c r="N45" s="9" t="s">
        <v>26</v>
      </c>
      <c r="O45" s="43">
        <f t="shared" si="12"/>
        <v>0</v>
      </c>
      <c r="P45" s="43">
        <f t="shared" si="13"/>
        <v>0</v>
      </c>
      <c r="Q45" s="44">
        <f t="shared" si="14"/>
        <v>0</v>
      </c>
      <c r="R45" s="68">
        <f t="shared" si="8"/>
        <v>0</v>
      </c>
      <c r="S45" s="51"/>
    </row>
    <row r="46" spans="1:19" ht="15.75" customHeight="1">
      <c r="A46" s="23">
        <v>35</v>
      </c>
      <c r="B46" s="43">
        <f t="shared" si="15"/>
        <v>0</v>
      </c>
      <c r="C46" s="123">
        <f t="shared" si="5"/>
        <v>0</v>
      </c>
      <c r="D46" s="43">
        <f t="shared" si="16"/>
        <v>0</v>
      </c>
      <c r="E46" s="68">
        <f t="shared" si="17"/>
        <v>0</v>
      </c>
      <c r="F46" s="51"/>
      <c r="G46" s="4195"/>
      <c r="H46" s="22" t="s">
        <v>27</v>
      </c>
      <c r="I46" s="43">
        <f>IF($B$8=12,B46,IF($B$8=4,0,IF($B$8=6,B29,IF($B$8=3,0,0))))</f>
        <v>0</v>
      </c>
      <c r="J46" s="43">
        <f>IF($B$8=12,C46,IF($B$8=4,0,IF($B$8=6,C29,IF($B$8=3,0,0))))</f>
        <v>0</v>
      </c>
      <c r="K46" s="68">
        <f>IF($B$8=12,D46,IF($B$8=4,0,IF($B$8=6,D29,IF($B$8=3,0,0))))</f>
        <v>0</v>
      </c>
      <c r="M46" s="4195"/>
      <c r="N46" s="9" t="s">
        <v>27</v>
      </c>
      <c r="O46" s="43">
        <f t="shared" si="12"/>
        <v>0</v>
      </c>
      <c r="P46" s="43">
        <f t="shared" si="13"/>
        <v>0</v>
      </c>
      <c r="Q46" s="44">
        <f t="shared" si="14"/>
        <v>0</v>
      </c>
      <c r="R46" s="68">
        <f t="shared" si="8"/>
        <v>0</v>
      </c>
      <c r="S46" s="51"/>
    </row>
    <row r="47" spans="1:19" ht="15.75" customHeight="1" thickBot="1">
      <c r="A47" s="24">
        <v>36</v>
      </c>
      <c r="B47" s="70">
        <f t="shared" si="15"/>
        <v>0</v>
      </c>
      <c r="C47" s="139">
        <f t="shared" si="5"/>
        <v>0</v>
      </c>
      <c r="D47" s="70">
        <f t="shared" si="16"/>
        <v>0</v>
      </c>
      <c r="E47" s="75">
        <f t="shared" si="17"/>
        <v>0</v>
      </c>
      <c r="F47" s="243">
        <f>SUM(D36:D47)</f>
        <v>0</v>
      </c>
      <c r="G47" s="4196"/>
      <c r="H47" s="25" t="s">
        <v>28</v>
      </c>
      <c r="I47" s="70">
        <f>IF($B$8=12,B47,IF($B$8=4,0,IF($B$8=6,0,IF($B$8=3,0,0))))</f>
        <v>0</v>
      </c>
      <c r="J47" s="70">
        <f>IF($B$8=12,C47,IF($B$8=4,0,IF($B$8=6,0,IF($B$8=3,0,0))))</f>
        <v>0</v>
      </c>
      <c r="K47" s="72">
        <f>IF($B$8=12,D47,IF($B$8=4,0,IF($B$8=6,0,IF($B$8=3,0,0))))</f>
        <v>0</v>
      </c>
      <c r="M47" s="4196"/>
      <c r="N47" s="35" t="s">
        <v>28</v>
      </c>
      <c r="O47" s="45">
        <f t="shared" si="12"/>
        <v>0</v>
      </c>
      <c r="P47" s="45">
        <f t="shared" si="13"/>
        <v>0</v>
      </c>
      <c r="Q47" s="46">
        <f t="shared" si="14"/>
        <v>0</v>
      </c>
      <c r="R47" s="75">
        <f t="shared" si="8"/>
        <v>0</v>
      </c>
      <c r="S47" s="1100">
        <f>SUM(Q36:Q47)</f>
        <v>0</v>
      </c>
    </row>
    <row r="48" spans="1:19" ht="15.75" customHeight="1">
      <c r="A48" s="23">
        <v>37</v>
      </c>
      <c r="B48" s="43">
        <f t="shared" si="15"/>
        <v>0</v>
      </c>
      <c r="C48" s="123">
        <f t="shared" si="5"/>
        <v>0</v>
      </c>
      <c r="D48" s="43">
        <f t="shared" si="16"/>
        <v>0</v>
      </c>
      <c r="E48" s="68">
        <f t="shared" si="17"/>
        <v>0</v>
      </c>
      <c r="F48" s="51"/>
      <c r="G48" s="4194">
        <f>G36+1</f>
        <v>3</v>
      </c>
      <c r="H48" s="22" t="s">
        <v>17</v>
      </c>
      <c r="I48" s="43">
        <f>IF($B$8=12,B48,IF($B$8=4,B24,IF($B$8=6,B30,IF($B$8=3,B21,IF($B$8=2,B18,IF($B$8=1,B15,0))))))</f>
        <v>0</v>
      </c>
      <c r="J48" s="43">
        <f>IF($B$8=12,C48,IF($B$8=4,C24,IF($B$8=6,C30,IF($B$8=3,C21,IF($B$8=2,C18,IF($B$8=1,C15,0))))))</f>
        <v>0</v>
      </c>
      <c r="K48" s="68">
        <f>IF($B$8=12,D48,IF($B$8=4,D24,IF($B$8=6,D30,IF($B$8=3,D21,IF($B$8=2,D18,IF($B$8=1,D15,0))))))</f>
        <v>0</v>
      </c>
      <c r="M48" s="4194">
        <f>M12+3</f>
        <v>3</v>
      </c>
      <c r="N48" s="9" t="s">
        <v>17</v>
      </c>
      <c r="O48" s="76">
        <f t="shared" ref="O48:O59" si="18">IF($I$6=4,I12,IF($I$6=3,I24,IF($I$6=2,I36,IF($I$6=1,I48,0))))</f>
        <v>0</v>
      </c>
      <c r="P48" s="76">
        <f t="shared" ref="P48:P59" si="19">IF($I$6=4,J12,IF($I$6=3,J24,IF($I$6=2,J36,IF($I$6=1,J48,0))))</f>
        <v>0</v>
      </c>
      <c r="Q48" s="77">
        <f t="shared" ref="Q48:Q59" si="20">IF($I$6=4,K12,IF($I$6=3,K24,IF($I$6=2,K36,IF($I$6=1,K48,0))))</f>
        <v>0</v>
      </c>
      <c r="R48" s="68">
        <f t="shared" si="8"/>
        <v>0</v>
      </c>
      <c r="S48" s="51"/>
    </row>
    <row r="49" spans="1:19" ht="15.75" customHeight="1">
      <c r="A49" s="23">
        <v>38</v>
      </c>
      <c r="B49" s="43">
        <f t="shared" si="15"/>
        <v>0</v>
      </c>
      <c r="C49" s="123">
        <f t="shared" si="5"/>
        <v>0</v>
      </c>
      <c r="D49" s="43">
        <f t="shared" si="16"/>
        <v>0</v>
      </c>
      <c r="E49" s="68">
        <f t="shared" si="17"/>
        <v>0</v>
      </c>
      <c r="F49" s="51"/>
      <c r="G49" s="4195"/>
      <c r="H49" s="22" t="s">
        <v>18</v>
      </c>
      <c r="I49" s="43">
        <f>IF($B$8=12,B49,0)</f>
        <v>0</v>
      </c>
      <c r="J49" s="43">
        <f>IF($B$8=12,C49,0)</f>
        <v>0</v>
      </c>
      <c r="K49" s="68">
        <f>IF($B$8=12,D49,0)</f>
        <v>0</v>
      </c>
      <c r="M49" s="4195"/>
      <c r="N49" s="9" t="s">
        <v>18</v>
      </c>
      <c r="O49" s="43">
        <f t="shared" si="18"/>
        <v>0</v>
      </c>
      <c r="P49" s="43">
        <f t="shared" si="19"/>
        <v>0</v>
      </c>
      <c r="Q49" s="44">
        <f t="shared" si="20"/>
        <v>0</v>
      </c>
      <c r="R49" s="68">
        <f t="shared" si="8"/>
        <v>0</v>
      </c>
      <c r="S49" s="51"/>
    </row>
    <row r="50" spans="1:19" ht="15.75" customHeight="1">
      <c r="A50" s="23">
        <v>39</v>
      </c>
      <c r="B50" s="43">
        <f t="shared" si="15"/>
        <v>0</v>
      </c>
      <c r="C50" s="123">
        <f t="shared" si="5"/>
        <v>0</v>
      </c>
      <c r="D50" s="43">
        <f t="shared" si="16"/>
        <v>0</v>
      </c>
      <c r="E50" s="68">
        <f t="shared" si="17"/>
        <v>0</v>
      </c>
      <c r="F50" s="51"/>
      <c r="G50" s="4195"/>
      <c r="H50" s="22" t="s">
        <v>19</v>
      </c>
      <c r="I50" s="43">
        <f>IF($B$8=12,B50,IF($B$8=6,B31,0))</f>
        <v>0</v>
      </c>
      <c r="J50" s="43">
        <f>IF($B$8=12,C50,IF($B$8=6,C31,0))</f>
        <v>0</v>
      </c>
      <c r="K50" s="68">
        <f>IF($B$8=12,D50,IF($B$8=6,D31,0))</f>
        <v>0</v>
      </c>
      <c r="M50" s="4195"/>
      <c r="N50" s="9" t="s">
        <v>19</v>
      </c>
      <c r="O50" s="43">
        <f t="shared" si="18"/>
        <v>0</v>
      </c>
      <c r="P50" s="43">
        <f t="shared" si="19"/>
        <v>0</v>
      </c>
      <c r="Q50" s="44">
        <f t="shared" si="20"/>
        <v>0</v>
      </c>
      <c r="R50" s="68">
        <f t="shared" si="8"/>
        <v>0</v>
      </c>
      <c r="S50" s="51"/>
    </row>
    <row r="51" spans="1:19" ht="15.75" customHeight="1">
      <c r="A51" s="23">
        <v>40</v>
      </c>
      <c r="B51" s="43">
        <f t="shared" si="15"/>
        <v>0</v>
      </c>
      <c r="C51" s="123">
        <f t="shared" si="5"/>
        <v>0</v>
      </c>
      <c r="D51" s="43">
        <f t="shared" si="16"/>
        <v>0</v>
      </c>
      <c r="E51" s="68">
        <f t="shared" si="17"/>
        <v>0</v>
      </c>
      <c r="F51" s="51"/>
      <c r="G51" s="4195"/>
      <c r="H51" s="22" t="s">
        <v>20</v>
      </c>
      <c r="I51" s="43">
        <f>IF($B$8=12,B51,IF($B$8=4,B25,IF($B$8=6,0,IF($B$8=3,0,0))))</f>
        <v>0</v>
      </c>
      <c r="J51" s="43">
        <f>IF($B$8=12,C51,IF($B$8=4,C25,IF($B$8=6,0,IF($B$8=3,0,0))))</f>
        <v>0</v>
      </c>
      <c r="K51" s="68">
        <f>IF($B$8=12,D51,IF($B$8=4,D25,IF($B$8=6,0,IF($B$8=3,0,0))))</f>
        <v>0</v>
      </c>
      <c r="M51" s="4195"/>
      <c r="N51" s="9" t="s">
        <v>20</v>
      </c>
      <c r="O51" s="43">
        <f t="shared" si="18"/>
        <v>0</v>
      </c>
      <c r="P51" s="43">
        <f t="shared" si="19"/>
        <v>0</v>
      </c>
      <c r="Q51" s="44">
        <f t="shared" si="20"/>
        <v>0</v>
      </c>
      <c r="R51" s="68">
        <f t="shared" si="8"/>
        <v>0</v>
      </c>
      <c r="S51" s="51"/>
    </row>
    <row r="52" spans="1:19" ht="15.75" customHeight="1">
      <c r="A52" s="23">
        <v>41</v>
      </c>
      <c r="B52" s="43">
        <f t="shared" si="15"/>
        <v>0</v>
      </c>
      <c r="C52" s="123">
        <f t="shared" si="5"/>
        <v>0</v>
      </c>
      <c r="D52" s="43">
        <f t="shared" si="16"/>
        <v>0</v>
      </c>
      <c r="E52" s="68">
        <f t="shared" si="17"/>
        <v>0</v>
      </c>
      <c r="F52" s="51"/>
      <c r="G52" s="4195"/>
      <c r="H52" s="22" t="s">
        <v>21</v>
      </c>
      <c r="I52" s="43">
        <f>IF($B$8=12,B52,IF($B$8=4,0,IF($B$8=6,B32,IF($B$8=3,B22,0))))</f>
        <v>0</v>
      </c>
      <c r="J52" s="43">
        <f>IF($B$8=12,C52,IF($B$8=4,0,IF($B$8=6,C32,IF($B$8=3,C22,0))))</f>
        <v>0</v>
      </c>
      <c r="K52" s="68">
        <f>IF($B$8=12,D52,IF($B$8=4,0,IF($B$8=6,D32,IF($B$8=3,D22,0))))</f>
        <v>0</v>
      </c>
      <c r="M52" s="4195"/>
      <c r="N52" s="9" t="s">
        <v>21</v>
      </c>
      <c r="O52" s="43">
        <f t="shared" si="18"/>
        <v>0</v>
      </c>
      <c r="P52" s="43">
        <f t="shared" si="19"/>
        <v>0</v>
      </c>
      <c r="Q52" s="44">
        <f t="shared" si="20"/>
        <v>0</v>
      </c>
      <c r="R52" s="68">
        <f t="shared" si="8"/>
        <v>0</v>
      </c>
      <c r="S52" s="51"/>
    </row>
    <row r="53" spans="1:19" ht="15.75" customHeight="1">
      <c r="A53" s="23">
        <v>42</v>
      </c>
      <c r="B53" s="43">
        <f t="shared" si="15"/>
        <v>0</v>
      </c>
      <c r="C53" s="123">
        <f t="shared" si="5"/>
        <v>0</v>
      </c>
      <c r="D53" s="43">
        <f t="shared" si="16"/>
        <v>0</v>
      </c>
      <c r="E53" s="68">
        <f t="shared" si="17"/>
        <v>0</v>
      </c>
      <c r="F53" s="51"/>
      <c r="G53" s="4195"/>
      <c r="H53" s="22" t="s">
        <v>22</v>
      </c>
      <c r="I53" s="43">
        <f>IF($B$8=12,B53,IF($B$8=4,0,IF($B$8=6,0,IF($B$8=3,0,0))))</f>
        <v>0</v>
      </c>
      <c r="J53" s="43">
        <f>IF($B$8=12,C53,IF($B$8=4,0,IF($B$8=6,0,IF($B$8=3,0,0))))</f>
        <v>0</v>
      </c>
      <c r="K53" s="68">
        <f>IF($B$8=12,D53,IF($B$8=4,0,IF($B$8=6,0,IF($B$8=3,0,0))))</f>
        <v>0</v>
      </c>
      <c r="M53" s="4195"/>
      <c r="N53" s="9" t="s">
        <v>22</v>
      </c>
      <c r="O53" s="43">
        <f t="shared" si="18"/>
        <v>0</v>
      </c>
      <c r="P53" s="43">
        <f t="shared" si="19"/>
        <v>0</v>
      </c>
      <c r="Q53" s="44">
        <f t="shared" si="20"/>
        <v>0</v>
      </c>
      <c r="R53" s="68">
        <f t="shared" si="8"/>
        <v>0</v>
      </c>
      <c r="S53" s="51"/>
    </row>
    <row r="54" spans="1:19" ht="15.75" customHeight="1">
      <c r="A54" s="23">
        <v>43</v>
      </c>
      <c r="B54" s="43">
        <f t="shared" si="15"/>
        <v>0</v>
      </c>
      <c r="C54" s="123">
        <f t="shared" si="5"/>
        <v>0</v>
      </c>
      <c r="D54" s="43">
        <f t="shared" si="16"/>
        <v>0</v>
      </c>
      <c r="E54" s="68">
        <f t="shared" si="17"/>
        <v>0</v>
      </c>
      <c r="F54" s="51"/>
      <c r="G54" s="4195"/>
      <c r="H54" s="22" t="s">
        <v>23</v>
      </c>
      <c r="I54" s="43">
        <f>IF($B$8=12,B54,IF($B$8=4,B26,IF($B$8=6,B33,IF($B$8=3,0,IF($B$8=2,B19,0)))))</f>
        <v>0</v>
      </c>
      <c r="J54" s="43">
        <f>IF($B$8=12,C54,IF($B$8=4,C26,IF($B$8=6,C33,IF($B$8=3,0,IF($B$8=2,C19,0)))))</f>
        <v>0</v>
      </c>
      <c r="K54" s="68">
        <f>IF($B$8=12,D54,IF($B$8=4,D26,IF($B$8=6,D33,IF($B$8=3,0,IF($B$8=2,D19,0)))))</f>
        <v>0</v>
      </c>
      <c r="M54" s="4195"/>
      <c r="N54" s="9" t="s">
        <v>23</v>
      </c>
      <c r="O54" s="43">
        <f t="shared" si="18"/>
        <v>0</v>
      </c>
      <c r="P54" s="43">
        <f t="shared" si="19"/>
        <v>0</v>
      </c>
      <c r="Q54" s="44">
        <f t="shared" si="20"/>
        <v>0</v>
      </c>
      <c r="R54" s="68">
        <f t="shared" si="8"/>
        <v>0</v>
      </c>
      <c r="S54" s="51"/>
    </row>
    <row r="55" spans="1:19" ht="15.75" customHeight="1">
      <c r="A55" s="23">
        <v>44</v>
      </c>
      <c r="B55" s="43">
        <f t="shared" si="15"/>
        <v>0</v>
      </c>
      <c r="C55" s="123">
        <f t="shared" si="5"/>
        <v>0</v>
      </c>
      <c r="D55" s="43">
        <f t="shared" si="16"/>
        <v>0</v>
      </c>
      <c r="E55" s="68">
        <f t="shared" si="17"/>
        <v>0</v>
      </c>
      <c r="F55" s="51"/>
      <c r="G55" s="4195"/>
      <c r="H55" s="22" t="s">
        <v>24</v>
      </c>
      <c r="I55" s="43">
        <f>IF($B$8=12,B55,IF($B$8=4,0,IF($B$8=6,0,IF($B$8=3,0,0))))</f>
        <v>0</v>
      </c>
      <c r="J55" s="43">
        <f>IF($B$8=12,C55,IF($B$8=4,0,IF($B$8=6,0,IF($B$8=3,0,0))))</f>
        <v>0</v>
      </c>
      <c r="K55" s="68">
        <f>IF($B$8=12,D55,IF($B$8=4,0,IF($B$8=6,0,IF($B$8=3,0,0))))</f>
        <v>0</v>
      </c>
      <c r="M55" s="4195"/>
      <c r="N55" s="9" t="s">
        <v>24</v>
      </c>
      <c r="O55" s="43">
        <f t="shared" si="18"/>
        <v>0</v>
      </c>
      <c r="P55" s="43">
        <f t="shared" si="19"/>
        <v>0</v>
      </c>
      <c r="Q55" s="44">
        <f t="shared" si="20"/>
        <v>0</v>
      </c>
      <c r="R55" s="68">
        <f t="shared" si="8"/>
        <v>0</v>
      </c>
      <c r="S55" s="51"/>
    </row>
    <row r="56" spans="1:19" ht="15.75" customHeight="1">
      <c r="A56" s="23">
        <v>45</v>
      </c>
      <c r="B56" s="43">
        <f t="shared" si="15"/>
        <v>0</v>
      </c>
      <c r="C56" s="123">
        <f t="shared" si="5"/>
        <v>0</v>
      </c>
      <c r="D56" s="43">
        <f t="shared" si="16"/>
        <v>0</v>
      </c>
      <c r="E56" s="68">
        <f t="shared" si="17"/>
        <v>0</v>
      </c>
      <c r="F56" s="51"/>
      <c r="G56" s="4195"/>
      <c r="H56" s="22" t="s">
        <v>25</v>
      </c>
      <c r="I56" s="43">
        <f>IF($B$8=12,B56,IF($B$8=4,0,IF($B$8=6,B34,IF($B$8=3,B23,0))))</f>
        <v>0</v>
      </c>
      <c r="J56" s="43">
        <f>IF($B$8=12,C56,IF($B$8=4,0,IF($B$8=6,C34,IF($B$8=3,C23,0))))</f>
        <v>0</v>
      </c>
      <c r="K56" s="68">
        <f>IF($B$8=12,D56,IF($B$8=4,0,IF($B$8=6,D34,IF($B$8=3,D23,0))))</f>
        <v>0</v>
      </c>
      <c r="M56" s="4195"/>
      <c r="N56" s="9" t="s">
        <v>25</v>
      </c>
      <c r="O56" s="43">
        <f t="shared" si="18"/>
        <v>0</v>
      </c>
      <c r="P56" s="43">
        <f t="shared" si="19"/>
        <v>0</v>
      </c>
      <c r="Q56" s="44">
        <f t="shared" si="20"/>
        <v>0</v>
      </c>
      <c r="R56" s="68">
        <f t="shared" si="8"/>
        <v>0</v>
      </c>
      <c r="S56" s="51"/>
    </row>
    <row r="57" spans="1:19" ht="15.75" customHeight="1">
      <c r="A57" s="23">
        <v>46</v>
      </c>
      <c r="B57" s="43">
        <f t="shared" si="15"/>
        <v>0</v>
      </c>
      <c r="C57" s="123">
        <f t="shared" si="5"/>
        <v>0</v>
      </c>
      <c r="D57" s="43">
        <f t="shared" si="16"/>
        <v>0</v>
      </c>
      <c r="E57" s="68">
        <f t="shared" si="17"/>
        <v>0</v>
      </c>
      <c r="F57" s="51"/>
      <c r="G57" s="4195"/>
      <c r="H57" s="22" t="s">
        <v>26</v>
      </c>
      <c r="I57" s="43">
        <f>IF($B$8=12,B57,IF($B$8=4,B27,IF($B$8=6,0,IF($B$8=3,0,0))))</f>
        <v>0</v>
      </c>
      <c r="J57" s="43">
        <f>IF($B$8=12,C57,IF($B$8=4,C27,IF($B$8=6,0,IF($B$8=3,0,0))))</f>
        <v>0</v>
      </c>
      <c r="K57" s="68">
        <f>IF($B$8=12,D57,IF($B$8=4,D27,IF($B$8=6,0,IF($B$8=3,0,0))))</f>
        <v>0</v>
      </c>
      <c r="M57" s="4195"/>
      <c r="N57" s="9" t="s">
        <v>26</v>
      </c>
      <c r="O57" s="43">
        <f t="shared" si="18"/>
        <v>0</v>
      </c>
      <c r="P57" s="43">
        <f t="shared" si="19"/>
        <v>0</v>
      </c>
      <c r="Q57" s="44">
        <f t="shared" si="20"/>
        <v>0</v>
      </c>
      <c r="R57" s="68">
        <f t="shared" si="8"/>
        <v>0</v>
      </c>
      <c r="S57" s="51"/>
    </row>
    <row r="58" spans="1:19" ht="15.75" customHeight="1">
      <c r="A58" s="23">
        <v>47</v>
      </c>
      <c r="B58" s="43">
        <f t="shared" si="15"/>
        <v>0</v>
      </c>
      <c r="C58" s="123">
        <f t="shared" si="5"/>
        <v>0</v>
      </c>
      <c r="D58" s="43">
        <f t="shared" si="16"/>
        <v>0</v>
      </c>
      <c r="E58" s="68">
        <f t="shared" si="17"/>
        <v>0</v>
      </c>
      <c r="F58" s="51"/>
      <c r="G58" s="4195"/>
      <c r="H58" s="22" t="s">
        <v>27</v>
      </c>
      <c r="I58" s="43">
        <f>IF($B$8=12,B58,IF($B$8=4,0,IF($B$8=6,B35,IF($B$8=3,0,0))))</f>
        <v>0</v>
      </c>
      <c r="J58" s="43">
        <f>IF($B$8=12,C58,IF($B$8=4,0,IF($B$8=6,C35,IF($B$8=3,0,0))))</f>
        <v>0</v>
      </c>
      <c r="K58" s="68">
        <f>IF($B$8=12,D58,IF($B$8=4,0,IF($B$8=6,D35,IF($B$8=3,0,0))))</f>
        <v>0</v>
      </c>
      <c r="M58" s="4195"/>
      <c r="N58" s="9" t="s">
        <v>27</v>
      </c>
      <c r="O58" s="43">
        <f t="shared" si="18"/>
        <v>0</v>
      </c>
      <c r="P58" s="43">
        <f t="shared" si="19"/>
        <v>0</v>
      </c>
      <c r="Q58" s="44">
        <f t="shared" si="20"/>
        <v>0</v>
      </c>
      <c r="R58" s="68">
        <f t="shared" si="8"/>
        <v>0</v>
      </c>
      <c r="S58" s="51"/>
    </row>
    <row r="59" spans="1:19" ht="15.75" customHeight="1" thickBot="1">
      <c r="A59" s="24">
        <v>48</v>
      </c>
      <c r="B59" s="70">
        <f t="shared" si="15"/>
        <v>0</v>
      </c>
      <c r="C59" s="139">
        <f t="shared" si="5"/>
        <v>0</v>
      </c>
      <c r="D59" s="70">
        <f t="shared" si="16"/>
        <v>0</v>
      </c>
      <c r="E59" s="75">
        <f t="shared" si="17"/>
        <v>0</v>
      </c>
      <c r="F59" s="243">
        <f>SUM(D48:D59)</f>
        <v>0</v>
      </c>
      <c r="G59" s="4196"/>
      <c r="H59" s="25" t="s">
        <v>28</v>
      </c>
      <c r="I59" s="70">
        <f>IF($B$8=12,B59,IF($B$8=4,0,IF($B$8=6,0,IF($B$8=3,0,0))))</f>
        <v>0</v>
      </c>
      <c r="J59" s="70">
        <f>IF($B$8=12,C59,IF($B$8=4,0,IF($B$8=6,0,IF($B$8=3,0,0))))</f>
        <v>0</v>
      </c>
      <c r="K59" s="72">
        <f>IF($B$8=12,D59,IF($B$8=4,0,IF($B$8=6,0,IF($B$8=3,0,0))))</f>
        <v>0</v>
      </c>
      <c r="M59" s="4196"/>
      <c r="N59" s="35" t="s">
        <v>28</v>
      </c>
      <c r="O59" s="45">
        <f t="shared" si="18"/>
        <v>0</v>
      </c>
      <c r="P59" s="45">
        <f t="shared" si="19"/>
        <v>0</v>
      </c>
      <c r="Q59" s="46">
        <f t="shared" si="20"/>
        <v>0</v>
      </c>
      <c r="R59" s="75">
        <f t="shared" si="8"/>
        <v>0</v>
      </c>
      <c r="S59" s="1100">
        <f>SUM(Q48:Q59)</f>
        <v>0</v>
      </c>
    </row>
    <row r="60" spans="1:19" ht="15.75" customHeight="1">
      <c r="A60" s="23">
        <v>49</v>
      </c>
      <c r="B60" s="43">
        <f t="shared" si="15"/>
        <v>0</v>
      </c>
      <c r="C60" s="123">
        <f t="shared" si="5"/>
        <v>0</v>
      </c>
      <c r="D60" s="43">
        <f t="shared" si="16"/>
        <v>0</v>
      </c>
      <c r="E60" s="68">
        <f t="shared" si="17"/>
        <v>0</v>
      </c>
      <c r="F60" s="51"/>
      <c r="G60" s="4194">
        <f>G48+1</f>
        <v>4</v>
      </c>
      <c r="H60" s="22" t="s">
        <v>17</v>
      </c>
      <c r="I60" s="43">
        <f>IF($B$8=12,B60,IF($B$8=4,B28,IF($B$8=6,B36,IF($B$8=3,B24,IF($B$8=2,B20,IF($B$8=1,B16,0))))))</f>
        <v>0</v>
      </c>
      <c r="J60" s="43">
        <f>IF($B$8=12,C60,IF($B$8=4,C28,IF($B$8=6,C36,IF($B$8=3,C24,IF($B$8=2,C20,IF($B$8=1,C16,0))))))</f>
        <v>0</v>
      </c>
      <c r="K60" s="68">
        <f>IF($B$8=12,D60,IF($B$8=4,D28,IF($B$8=6,D36,IF($B$8=3,D24,IF($B$8=2,D20,IF($B$8=1,D16,0))))))</f>
        <v>0</v>
      </c>
      <c r="M60" s="4194">
        <f>M12+4</f>
        <v>4</v>
      </c>
      <c r="N60" s="9" t="s">
        <v>17</v>
      </c>
      <c r="O60" s="76">
        <f t="shared" ref="O60:O71" si="21">IF($I$6=5,I12,IF($I$6=4,I24,IF($I$6=3,I36,IF($I$6=2,I48,IF($I$6=1,I60,0)))))</f>
        <v>0</v>
      </c>
      <c r="P60" s="76">
        <f t="shared" ref="P60:P71" si="22">IF($I$6=5,J12,IF($I$6=4,J24,IF($I$6=3,J36,IF($I$6=2,J48,IF($I$6=1,J60,0)))))</f>
        <v>0</v>
      </c>
      <c r="Q60" s="77">
        <f t="shared" ref="Q60:Q71" si="23">IF($I$6=5,K12,IF($I$6=4,K24,IF($I$6=3,K36,IF($I$6=2,K48,IF($I$6=1,K60,0)))))</f>
        <v>0</v>
      </c>
      <c r="R60" s="68">
        <f t="shared" si="8"/>
        <v>0</v>
      </c>
      <c r="S60" s="51"/>
    </row>
    <row r="61" spans="1:19" ht="15.75" customHeight="1">
      <c r="A61" s="23">
        <v>50</v>
      </c>
      <c r="B61" s="43">
        <f t="shared" si="15"/>
        <v>0</v>
      </c>
      <c r="C61" s="123">
        <f t="shared" si="5"/>
        <v>0</v>
      </c>
      <c r="D61" s="43">
        <f t="shared" si="16"/>
        <v>0</v>
      </c>
      <c r="E61" s="68">
        <f t="shared" si="17"/>
        <v>0</v>
      </c>
      <c r="F61" s="51"/>
      <c r="G61" s="4195"/>
      <c r="H61" s="22" t="s">
        <v>18</v>
      </c>
      <c r="I61" s="43">
        <f>IF($B$8=12,B61,0)</f>
        <v>0</v>
      </c>
      <c r="J61" s="43">
        <f>IF($B$8=12,C61,0)</f>
        <v>0</v>
      </c>
      <c r="K61" s="68">
        <f>IF($B$8=12,D61,0)</f>
        <v>0</v>
      </c>
      <c r="M61" s="4195"/>
      <c r="N61" s="9" t="s">
        <v>18</v>
      </c>
      <c r="O61" s="43">
        <f t="shared" si="21"/>
        <v>0</v>
      </c>
      <c r="P61" s="43">
        <f t="shared" si="22"/>
        <v>0</v>
      </c>
      <c r="Q61" s="44">
        <f t="shared" si="23"/>
        <v>0</v>
      </c>
      <c r="R61" s="68">
        <f t="shared" si="8"/>
        <v>0</v>
      </c>
      <c r="S61" s="51"/>
    </row>
    <row r="62" spans="1:19" ht="15.75" customHeight="1">
      <c r="A62" s="23">
        <v>51</v>
      </c>
      <c r="B62" s="43">
        <f t="shared" si="15"/>
        <v>0</v>
      </c>
      <c r="C62" s="123">
        <f t="shared" si="5"/>
        <v>0</v>
      </c>
      <c r="D62" s="43">
        <f t="shared" si="16"/>
        <v>0</v>
      </c>
      <c r="E62" s="68">
        <f t="shared" si="17"/>
        <v>0</v>
      </c>
      <c r="F62" s="51"/>
      <c r="G62" s="4195"/>
      <c r="H62" s="22" t="s">
        <v>19</v>
      </c>
      <c r="I62" s="43">
        <f>IF($B$8=12,B62,IF($B$8=6,B37,0))</f>
        <v>0</v>
      </c>
      <c r="J62" s="43">
        <f>IF($B$8=12,C62,IF($B$8=6,C37,0))</f>
        <v>0</v>
      </c>
      <c r="K62" s="68">
        <f>IF($B$8=12,D62,IF($B$8=6,D37,0))</f>
        <v>0</v>
      </c>
      <c r="M62" s="4195"/>
      <c r="N62" s="9" t="s">
        <v>19</v>
      </c>
      <c r="O62" s="43">
        <f t="shared" si="21"/>
        <v>0</v>
      </c>
      <c r="P62" s="43">
        <f t="shared" si="22"/>
        <v>0</v>
      </c>
      <c r="Q62" s="44">
        <f t="shared" si="23"/>
        <v>0</v>
      </c>
      <c r="R62" s="68">
        <f t="shared" si="8"/>
        <v>0</v>
      </c>
      <c r="S62" s="51"/>
    </row>
    <row r="63" spans="1:19" ht="15.75" customHeight="1">
      <c r="A63" s="23">
        <v>52</v>
      </c>
      <c r="B63" s="43">
        <f t="shared" si="15"/>
        <v>0</v>
      </c>
      <c r="C63" s="123">
        <f t="shared" si="5"/>
        <v>0</v>
      </c>
      <c r="D63" s="43">
        <f t="shared" si="16"/>
        <v>0</v>
      </c>
      <c r="E63" s="68">
        <f t="shared" si="17"/>
        <v>0</v>
      </c>
      <c r="F63" s="51"/>
      <c r="G63" s="4195"/>
      <c r="H63" s="22" t="s">
        <v>20</v>
      </c>
      <c r="I63" s="43">
        <f>IF($B$8=12,B63,IF($B$8=4,B29,IF($B$8=6,0,IF($B$8=3,0,0))))</f>
        <v>0</v>
      </c>
      <c r="J63" s="43">
        <f>IF($B$8=12,C63,IF($B$8=4,C29,IF($B$8=6,0,IF($B$8=3,0,0))))</f>
        <v>0</v>
      </c>
      <c r="K63" s="68">
        <f>IF($B$8=12,D63,IF($B$8=4,D29,IF($B$8=6,0,IF($B$8=3,0,0))))</f>
        <v>0</v>
      </c>
      <c r="M63" s="4195"/>
      <c r="N63" s="9" t="s">
        <v>20</v>
      </c>
      <c r="O63" s="43">
        <f t="shared" si="21"/>
        <v>0</v>
      </c>
      <c r="P63" s="43">
        <f t="shared" si="22"/>
        <v>0</v>
      </c>
      <c r="Q63" s="44">
        <f t="shared" si="23"/>
        <v>0</v>
      </c>
      <c r="R63" s="68">
        <f t="shared" si="8"/>
        <v>0</v>
      </c>
      <c r="S63" s="51"/>
    </row>
    <row r="64" spans="1:19" ht="15.75" customHeight="1">
      <c r="A64" s="23">
        <v>53</v>
      </c>
      <c r="B64" s="43">
        <f t="shared" si="15"/>
        <v>0</v>
      </c>
      <c r="C64" s="123">
        <f t="shared" si="5"/>
        <v>0</v>
      </c>
      <c r="D64" s="43">
        <f t="shared" si="16"/>
        <v>0</v>
      </c>
      <c r="E64" s="68">
        <f t="shared" si="17"/>
        <v>0</v>
      </c>
      <c r="F64" s="51"/>
      <c r="G64" s="4195"/>
      <c r="H64" s="22" t="s">
        <v>21</v>
      </c>
      <c r="I64" s="43">
        <f>IF($B$8=12,B64,IF($B$8=4,0,IF($B$8=6,B38,IF($B$8=3,B25,0))))</f>
        <v>0</v>
      </c>
      <c r="J64" s="43">
        <f>IF($B$8=12,C64,IF($B$8=4,0,IF($B$8=6,C38,IF($B$8=3,C25,0))))</f>
        <v>0</v>
      </c>
      <c r="K64" s="68">
        <f>IF($B$8=12,D64,IF($B$8=4,0,IF($B$8=6,D38,IF($B$8=3,D25,0))))</f>
        <v>0</v>
      </c>
      <c r="M64" s="4195"/>
      <c r="N64" s="9" t="s">
        <v>21</v>
      </c>
      <c r="O64" s="43">
        <f t="shared" si="21"/>
        <v>0</v>
      </c>
      <c r="P64" s="43">
        <f t="shared" si="22"/>
        <v>0</v>
      </c>
      <c r="Q64" s="44">
        <f t="shared" si="23"/>
        <v>0</v>
      </c>
      <c r="R64" s="68">
        <f t="shared" si="8"/>
        <v>0</v>
      </c>
      <c r="S64" s="51"/>
    </row>
    <row r="65" spans="1:19" ht="15.75" customHeight="1">
      <c r="A65" s="23">
        <v>54</v>
      </c>
      <c r="B65" s="43">
        <f t="shared" si="15"/>
        <v>0</v>
      </c>
      <c r="C65" s="123">
        <f t="shared" si="5"/>
        <v>0</v>
      </c>
      <c r="D65" s="43">
        <f t="shared" si="16"/>
        <v>0</v>
      </c>
      <c r="E65" s="68">
        <f t="shared" si="17"/>
        <v>0</v>
      </c>
      <c r="F65" s="51"/>
      <c r="G65" s="4195"/>
      <c r="H65" s="22" t="s">
        <v>22</v>
      </c>
      <c r="I65" s="43">
        <f>IF($B$8=12,B65,IF($B$8=4,0,IF($B$8=6,0,IF($B$8=3,0,0))))</f>
        <v>0</v>
      </c>
      <c r="J65" s="43">
        <f>IF($B$8=12,C65,IF($B$8=4,0,IF($B$8=6,0,IF($B$8=3,0,0))))</f>
        <v>0</v>
      </c>
      <c r="K65" s="68">
        <f>IF($B$8=12,D65,IF($B$8=4,0,IF($B$8=6,0,IF($B$8=3,0,0))))</f>
        <v>0</v>
      </c>
      <c r="M65" s="4195"/>
      <c r="N65" s="9" t="s">
        <v>22</v>
      </c>
      <c r="O65" s="43">
        <f t="shared" si="21"/>
        <v>0</v>
      </c>
      <c r="P65" s="43">
        <f t="shared" si="22"/>
        <v>0</v>
      </c>
      <c r="Q65" s="44">
        <f t="shared" si="23"/>
        <v>0</v>
      </c>
      <c r="R65" s="68">
        <f t="shared" si="8"/>
        <v>0</v>
      </c>
      <c r="S65" s="51"/>
    </row>
    <row r="66" spans="1:19" ht="15.75" customHeight="1">
      <c r="A66" s="23">
        <v>55</v>
      </c>
      <c r="B66" s="43">
        <f t="shared" si="15"/>
        <v>0</v>
      </c>
      <c r="C66" s="123">
        <f t="shared" si="5"/>
        <v>0</v>
      </c>
      <c r="D66" s="43">
        <f t="shared" si="16"/>
        <v>0</v>
      </c>
      <c r="E66" s="68">
        <f t="shared" si="17"/>
        <v>0</v>
      </c>
      <c r="F66" s="51"/>
      <c r="G66" s="4195"/>
      <c r="H66" s="22" t="s">
        <v>23</v>
      </c>
      <c r="I66" s="43">
        <f>IF($B$8=12,B66,IF($B$8=4,B30,IF($B$8=6,B39,IF($B$8=3,0,IF($B$8=2,B21,0)))))</f>
        <v>0</v>
      </c>
      <c r="J66" s="43">
        <f>IF($B$8=12,C66,IF($B$8=4,C30,IF($B$8=6,C39,IF($B$8=3,0,IF($B$8=2,C21,0)))))</f>
        <v>0</v>
      </c>
      <c r="K66" s="68">
        <f>IF($B$8=12,D66,IF($B$8=4,D30,IF($B$8=6,D39,IF($B$8=3,0,IF($B$8=2,D21,0)))))</f>
        <v>0</v>
      </c>
      <c r="M66" s="4195"/>
      <c r="N66" s="9" t="s">
        <v>23</v>
      </c>
      <c r="O66" s="43">
        <f t="shared" si="21"/>
        <v>0</v>
      </c>
      <c r="P66" s="43">
        <f t="shared" si="22"/>
        <v>0</v>
      </c>
      <c r="Q66" s="44">
        <f t="shared" si="23"/>
        <v>0</v>
      </c>
      <c r="R66" s="68">
        <f t="shared" si="8"/>
        <v>0</v>
      </c>
      <c r="S66" s="51"/>
    </row>
    <row r="67" spans="1:19" ht="15.75" customHeight="1">
      <c r="A67" s="23">
        <v>56</v>
      </c>
      <c r="B67" s="43">
        <f t="shared" si="15"/>
        <v>0</v>
      </c>
      <c r="C67" s="123">
        <f t="shared" si="5"/>
        <v>0</v>
      </c>
      <c r="D67" s="43">
        <f t="shared" si="16"/>
        <v>0</v>
      </c>
      <c r="E67" s="68">
        <f t="shared" si="17"/>
        <v>0</v>
      </c>
      <c r="F67" s="51"/>
      <c r="G67" s="4195"/>
      <c r="H67" s="22" t="s">
        <v>24</v>
      </c>
      <c r="I67" s="43">
        <f>IF($B$8=12,B67,IF($B$8=4,0,IF($B$8=6,0,IF($B$8=3,0,0))))</f>
        <v>0</v>
      </c>
      <c r="J67" s="43">
        <f>IF($B$8=12,C67,IF($B$8=4,0,IF($B$8=6,0,IF($B$8=3,0,0))))</f>
        <v>0</v>
      </c>
      <c r="K67" s="68">
        <f>IF($B$8=12,D67,IF($B$8=4,0,IF($B$8=6,0,IF($B$8=3,0,0))))</f>
        <v>0</v>
      </c>
      <c r="M67" s="4195"/>
      <c r="N67" s="9" t="s">
        <v>24</v>
      </c>
      <c r="O67" s="43">
        <f t="shared" si="21"/>
        <v>0</v>
      </c>
      <c r="P67" s="43">
        <f t="shared" si="22"/>
        <v>0</v>
      </c>
      <c r="Q67" s="44">
        <f t="shared" si="23"/>
        <v>0</v>
      </c>
      <c r="R67" s="68">
        <f t="shared" si="8"/>
        <v>0</v>
      </c>
      <c r="S67" s="51"/>
    </row>
    <row r="68" spans="1:19" ht="15.75" customHeight="1">
      <c r="A68" s="23">
        <v>57</v>
      </c>
      <c r="B68" s="43">
        <f t="shared" si="15"/>
        <v>0</v>
      </c>
      <c r="C68" s="123">
        <f t="shared" si="5"/>
        <v>0</v>
      </c>
      <c r="D68" s="43">
        <f t="shared" si="16"/>
        <v>0</v>
      </c>
      <c r="E68" s="68">
        <f t="shared" si="17"/>
        <v>0</v>
      </c>
      <c r="F68" s="51"/>
      <c r="G68" s="4195"/>
      <c r="H68" s="22" t="s">
        <v>25</v>
      </c>
      <c r="I68" s="43">
        <f>IF($B$8=12,B68,IF($B$8=4,0,IF($B$8=6,B40,IF($B$8=3,B26,0))))</f>
        <v>0</v>
      </c>
      <c r="J68" s="43">
        <f>IF($B$8=12,C68,IF($B$8=4,0,IF($B$8=6,C40,IF($B$8=3,C26,0))))</f>
        <v>0</v>
      </c>
      <c r="K68" s="68">
        <f>IF($B$8=12,D68,IF($B$8=4,0,IF($B$8=6,D40,IF($B$8=3,D26,0))))</f>
        <v>0</v>
      </c>
      <c r="M68" s="4195"/>
      <c r="N68" s="9" t="s">
        <v>25</v>
      </c>
      <c r="O68" s="43">
        <f t="shared" si="21"/>
        <v>0</v>
      </c>
      <c r="P68" s="43">
        <f t="shared" si="22"/>
        <v>0</v>
      </c>
      <c r="Q68" s="44">
        <f t="shared" si="23"/>
        <v>0</v>
      </c>
      <c r="R68" s="68">
        <f t="shared" si="8"/>
        <v>0</v>
      </c>
      <c r="S68" s="51"/>
    </row>
    <row r="69" spans="1:19" ht="15.75" customHeight="1">
      <c r="A69" s="23">
        <v>58</v>
      </c>
      <c r="B69" s="43">
        <f t="shared" si="15"/>
        <v>0</v>
      </c>
      <c r="C69" s="123">
        <f t="shared" si="5"/>
        <v>0</v>
      </c>
      <c r="D69" s="43">
        <f t="shared" si="16"/>
        <v>0</v>
      </c>
      <c r="E69" s="68">
        <f t="shared" si="17"/>
        <v>0</v>
      </c>
      <c r="F69" s="51"/>
      <c r="G69" s="4195"/>
      <c r="H69" s="22" t="s">
        <v>26</v>
      </c>
      <c r="I69" s="43">
        <f>IF($B$8=12,B69,IF($B$8=4,B31,IF($B$8=6,0,IF($B$8=3,0,0))))</f>
        <v>0</v>
      </c>
      <c r="J69" s="43">
        <f>IF($B$8=12,C69,IF($B$8=4,C31,IF($B$8=6,0,IF($B$8=3,0,0))))</f>
        <v>0</v>
      </c>
      <c r="K69" s="68">
        <f>IF($B$8=12,D69,IF($B$8=4,D31,IF($B$8=6,0,IF($B$8=3,0,0))))</f>
        <v>0</v>
      </c>
      <c r="M69" s="4195"/>
      <c r="N69" s="9" t="s">
        <v>26</v>
      </c>
      <c r="O69" s="43">
        <f t="shared" si="21"/>
        <v>0</v>
      </c>
      <c r="P69" s="43">
        <f t="shared" si="22"/>
        <v>0</v>
      </c>
      <c r="Q69" s="44">
        <f t="shared" si="23"/>
        <v>0</v>
      </c>
      <c r="R69" s="68">
        <f t="shared" si="8"/>
        <v>0</v>
      </c>
      <c r="S69" s="51"/>
    </row>
    <row r="70" spans="1:19" ht="15.75" customHeight="1">
      <c r="A70" s="23">
        <v>59</v>
      </c>
      <c r="B70" s="43">
        <f t="shared" si="15"/>
        <v>0</v>
      </c>
      <c r="C70" s="123">
        <f t="shared" si="5"/>
        <v>0</v>
      </c>
      <c r="D70" s="43">
        <f t="shared" si="16"/>
        <v>0</v>
      </c>
      <c r="E70" s="68">
        <f t="shared" si="17"/>
        <v>0</v>
      </c>
      <c r="F70" s="51"/>
      <c r="G70" s="4195"/>
      <c r="H70" s="22" t="s">
        <v>27</v>
      </c>
      <c r="I70" s="43">
        <f>IF($B$8=12,B70,IF($B$8=4,0,IF($B$8=6,B41,IF($B$8=3,0,0))))</f>
        <v>0</v>
      </c>
      <c r="J70" s="43">
        <f>IF($B$8=12,C70,IF($B$8=4,0,IF($B$8=6,C41,IF($B$8=3,0,0))))</f>
        <v>0</v>
      </c>
      <c r="K70" s="68">
        <f>IF($B$8=12,D70,IF($B$8=4,0,IF($B$8=6,D41,IF($B$8=3,0,0))))</f>
        <v>0</v>
      </c>
      <c r="M70" s="4195"/>
      <c r="N70" s="9" t="s">
        <v>27</v>
      </c>
      <c r="O70" s="43">
        <f t="shared" si="21"/>
        <v>0</v>
      </c>
      <c r="P70" s="43">
        <f t="shared" si="22"/>
        <v>0</v>
      </c>
      <c r="Q70" s="44">
        <f t="shared" si="23"/>
        <v>0</v>
      </c>
      <c r="R70" s="68">
        <f t="shared" si="8"/>
        <v>0</v>
      </c>
      <c r="S70" s="51"/>
    </row>
    <row r="71" spans="1:19" ht="15.75" customHeight="1" thickBot="1">
      <c r="A71" s="26">
        <v>60</v>
      </c>
      <c r="B71" s="48">
        <f t="shared" si="15"/>
        <v>0</v>
      </c>
      <c r="C71" s="138">
        <f t="shared" si="5"/>
        <v>0</v>
      </c>
      <c r="D71" s="48">
        <f t="shared" si="16"/>
        <v>0</v>
      </c>
      <c r="E71" s="49">
        <f t="shared" si="17"/>
        <v>0</v>
      </c>
      <c r="F71" s="243">
        <f>SUM(D60:D71)</f>
        <v>0</v>
      </c>
      <c r="G71" s="4196"/>
      <c r="H71" s="38" t="s">
        <v>28</v>
      </c>
      <c r="I71" s="48">
        <f>IF($B$8=12,B71,IF($B$8=4,0,IF($B$8=6,0,IF($B$8=3,0,0))))</f>
        <v>0</v>
      </c>
      <c r="J71" s="48">
        <f>IF($B$8=12,C71,IF($B$8=4,0,IF($B$8=6,0,IF($B$8=3,0,0))))</f>
        <v>0</v>
      </c>
      <c r="K71" s="79">
        <f>IF($B$8=12,D71,IF($B$8=4,0,IF($B$8=6,0,IF($B$8=3,0,0))))</f>
        <v>0</v>
      </c>
      <c r="M71" s="4196"/>
      <c r="N71" s="36" t="s">
        <v>28</v>
      </c>
      <c r="O71" s="48">
        <f t="shared" si="21"/>
        <v>0</v>
      </c>
      <c r="P71" s="48">
        <f t="shared" si="22"/>
        <v>0</v>
      </c>
      <c r="Q71" s="49">
        <f t="shared" si="23"/>
        <v>0</v>
      </c>
      <c r="R71" s="49">
        <f t="shared" si="8"/>
        <v>0</v>
      </c>
      <c r="S71" s="1100">
        <f>SUM(Q60:Q71)</f>
        <v>0</v>
      </c>
    </row>
    <row r="72" spans="1:19" ht="16.5" thickTop="1">
      <c r="A72" s="23">
        <v>61</v>
      </c>
      <c r="B72" s="43">
        <f t="shared" ref="B72:B82" si="24">IF(A72&gt;$I$9,IF(E71&gt;1,PMT($B$6/$B$8,$B$7*$B$8,-$B$5),0),0)</f>
        <v>0</v>
      </c>
      <c r="C72" s="123">
        <f t="shared" ref="C72:C82" si="25">IF(B72&gt;0,B72-D72,E72*($B$6/$B$8))</f>
        <v>0</v>
      </c>
      <c r="D72" s="43">
        <f t="shared" ref="D72:D82" si="26">IF(A72&gt;$I$9,B72-(E71*($B$6/$B$8)),0)</f>
        <v>0</v>
      </c>
      <c r="E72" s="44">
        <f t="shared" ref="E72:E82" si="27">IF((E71-D72)&gt;0,E71-D72,0)</f>
        <v>0</v>
      </c>
      <c r="F72" s="51"/>
      <c r="H72" s="22" t="s">
        <v>17</v>
      </c>
      <c r="I72" s="43">
        <f t="shared" ref="I72:I82" si="28">IF($B$8=12,B72,IF($B$8=4,0,IF($B$8=6,0,IF($B$8=3,0,0))))</f>
        <v>0</v>
      </c>
      <c r="J72" s="43">
        <f t="shared" ref="J72:J82" si="29">IF($B$8=12,C72,IF($B$8=4,0,IF($B$8=6,0,IF($B$8=3,0,0))))</f>
        <v>0</v>
      </c>
      <c r="K72" s="68">
        <f t="shared" ref="K72:K82" si="30">IF($B$8=12,D72,IF($B$8=4,0,IF($B$8=6,0,IF($B$8=3,0,0))))</f>
        <v>0</v>
      </c>
      <c r="N72" s="9" t="s">
        <v>17</v>
      </c>
      <c r="O72" s="43">
        <f t="shared" ref="O72:O82" si="31">IF($I$6=5,I24,IF($I$6=4,I36,IF($I$6=3,I48,IF($I$6=2,I60,IF($I$6=1,I72,0)))))</f>
        <v>0</v>
      </c>
      <c r="P72" s="43">
        <f t="shared" ref="P72:P82" si="32">IF($I$6=5,J24,IF($I$6=4,J36,IF($I$6=3,J48,IF($I$6=2,J60,IF($I$6=1,J72,0)))))</f>
        <v>0</v>
      </c>
      <c r="Q72" s="44">
        <f t="shared" ref="Q72:Q82" si="33">IF($I$6=5,K24,IF($I$6=4,K36,IF($I$6=3,K48,IF($I$6=2,K60,IF($I$6=1,K72,0)))))</f>
        <v>0</v>
      </c>
      <c r="R72" s="44">
        <f t="shared" si="8"/>
        <v>0</v>
      </c>
      <c r="S72" s="51"/>
    </row>
    <row r="73" spans="1:19">
      <c r="A73" s="23">
        <v>62</v>
      </c>
      <c r="B73" s="43">
        <f t="shared" si="24"/>
        <v>0</v>
      </c>
      <c r="C73" s="123">
        <f t="shared" si="25"/>
        <v>0</v>
      </c>
      <c r="D73" s="43">
        <f t="shared" si="26"/>
        <v>0</v>
      </c>
      <c r="E73" s="44">
        <f t="shared" si="27"/>
        <v>0</v>
      </c>
      <c r="F73"/>
      <c r="H73" s="22" t="s">
        <v>18</v>
      </c>
      <c r="I73" s="43">
        <f t="shared" si="28"/>
        <v>0</v>
      </c>
      <c r="J73" s="43">
        <f t="shared" si="29"/>
        <v>0</v>
      </c>
      <c r="K73" s="68">
        <f t="shared" si="30"/>
        <v>0</v>
      </c>
      <c r="N73" s="9" t="s">
        <v>18</v>
      </c>
      <c r="O73" s="43">
        <f t="shared" si="31"/>
        <v>0</v>
      </c>
      <c r="P73" s="43">
        <f t="shared" si="32"/>
        <v>0</v>
      </c>
      <c r="Q73" s="44">
        <f t="shared" si="33"/>
        <v>0</v>
      </c>
      <c r="R73" s="44">
        <f t="shared" si="8"/>
        <v>0</v>
      </c>
      <c r="S73"/>
    </row>
    <row r="74" spans="1:19">
      <c r="A74" s="23">
        <v>63</v>
      </c>
      <c r="B74" s="43">
        <f t="shared" si="24"/>
        <v>0</v>
      </c>
      <c r="C74" s="123">
        <f t="shared" si="25"/>
        <v>0</v>
      </c>
      <c r="D74" s="43">
        <f t="shared" si="26"/>
        <v>0</v>
      </c>
      <c r="E74" s="44">
        <f t="shared" si="27"/>
        <v>0</v>
      </c>
      <c r="F74"/>
      <c r="H74" s="22" t="s">
        <v>19</v>
      </c>
      <c r="I74" s="43">
        <f t="shared" si="28"/>
        <v>0</v>
      </c>
      <c r="J74" s="43">
        <f t="shared" si="29"/>
        <v>0</v>
      </c>
      <c r="K74" s="68">
        <f t="shared" si="30"/>
        <v>0</v>
      </c>
      <c r="N74" s="9" t="s">
        <v>19</v>
      </c>
      <c r="O74" s="43">
        <f t="shared" si="31"/>
        <v>0</v>
      </c>
      <c r="P74" s="43">
        <f t="shared" si="32"/>
        <v>0</v>
      </c>
      <c r="Q74" s="44">
        <f t="shared" si="33"/>
        <v>0</v>
      </c>
      <c r="R74" s="44">
        <f t="shared" si="8"/>
        <v>0</v>
      </c>
      <c r="S74"/>
    </row>
    <row r="75" spans="1:19">
      <c r="A75" s="23">
        <v>64</v>
      </c>
      <c r="B75" s="43">
        <f t="shared" si="24"/>
        <v>0</v>
      </c>
      <c r="C75" s="123">
        <f t="shared" si="25"/>
        <v>0</v>
      </c>
      <c r="D75" s="43">
        <f t="shared" si="26"/>
        <v>0</v>
      </c>
      <c r="E75" s="44">
        <f t="shared" si="27"/>
        <v>0</v>
      </c>
      <c r="F75"/>
      <c r="H75" s="22" t="s">
        <v>20</v>
      </c>
      <c r="I75" s="43">
        <f t="shared" si="28"/>
        <v>0</v>
      </c>
      <c r="J75" s="43">
        <f t="shared" si="29"/>
        <v>0</v>
      </c>
      <c r="K75" s="68">
        <f t="shared" si="30"/>
        <v>0</v>
      </c>
      <c r="N75" s="9" t="s">
        <v>20</v>
      </c>
      <c r="O75" s="43">
        <f t="shared" si="31"/>
        <v>0</v>
      </c>
      <c r="P75" s="43">
        <f t="shared" si="32"/>
        <v>0</v>
      </c>
      <c r="Q75" s="44">
        <f t="shared" si="33"/>
        <v>0</v>
      </c>
      <c r="R75" s="44">
        <f t="shared" si="8"/>
        <v>0</v>
      </c>
      <c r="S75"/>
    </row>
    <row r="76" spans="1:19">
      <c r="A76" s="23">
        <v>65</v>
      </c>
      <c r="B76" s="43">
        <f t="shared" si="24"/>
        <v>0</v>
      </c>
      <c r="C76" s="123">
        <f t="shared" si="25"/>
        <v>0</v>
      </c>
      <c r="D76" s="43">
        <f t="shared" si="26"/>
        <v>0</v>
      </c>
      <c r="E76" s="44">
        <f t="shared" si="27"/>
        <v>0</v>
      </c>
      <c r="F76"/>
      <c r="H76" s="22" t="s">
        <v>21</v>
      </c>
      <c r="I76" s="43">
        <f t="shared" si="28"/>
        <v>0</v>
      </c>
      <c r="J76" s="43">
        <f t="shared" si="29"/>
        <v>0</v>
      </c>
      <c r="K76" s="68">
        <f t="shared" si="30"/>
        <v>0</v>
      </c>
      <c r="N76" s="9" t="s">
        <v>21</v>
      </c>
      <c r="O76" s="43">
        <f t="shared" si="31"/>
        <v>0</v>
      </c>
      <c r="P76" s="43">
        <f t="shared" si="32"/>
        <v>0</v>
      </c>
      <c r="Q76" s="44">
        <f t="shared" si="33"/>
        <v>0</v>
      </c>
      <c r="R76" s="44">
        <f t="shared" si="8"/>
        <v>0</v>
      </c>
      <c r="S76"/>
    </row>
    <row r="77" spans="1:19">
      <c r="A77" s="23">
        <v>66</v>
      </c>
      <c r="B77" s="43">
        <f t="shared" si="24"/>
        <v>0</v>
      </c>
      <c r="C77" s="123">
        <f t="shared" si="25"/>
        <v>0</v>
      </c>
      <c r="D77" s="43">
        <f t="shared" si="26"/>
        <v>0</v>
      </c>
      <c r="E77" s="44">
        <f t="shared" si="27"/>
        <v>0</v>
      </c>
      <c r="F77"/>
      <c r="H77" s="22" t="s">
        <v>22</v>
      </c>
      <c r="I77" s="43">
        <f t="shared" si="28"/>
        <v>0</v>
      </c>
      <c r="J77" s="43">
        <f t="shared" si="29"/>
        <v>0</v>
      </c>
      <c r="K77" s="68">
        <f t="shared" si="30"/>
        <v>0</v>
      </c>
      <c r="N77" s="9" t="s">
        <v>22</v>
      </c>
      <c r="O77" s="43">
        <f t="shared" si="31"/>
        <v>0</v>
      </c>
      <c r="P77" s="43">
        <f t="shared" si="32"/>
        <v>0</v>
      </c>
      <c r="Q77" s="44">
        <f t="shared" si="33"/>
        <v>0</v>
      </c>
      <c r="R77" s="44">
        <f t="shared" si="8"/>
        <v>0</v>
      </c>
      <c r="S77"/>
    </row>
    <row r="78" spans="1:19">
      <c r="A78" s="23">
        <v>67</v>
      </c>
      <c r="B78" s="43">
        <f t="shared" si="24"/>
        <v>0</v>
      </c>
      <c r="C78" s="123">
        <f t="shared" si="25"/>
        <v>0</v>
      </c>
      <c r="D78" s="43">
        <f t="shared" si="26"/>
        <v>0</v>
      </c>
      <c r="E78" s="44">
        <f t="shared" si="27"/>
        <v>0</v>
      </c>
      <c r="F78"/>
      <c r="H78" s="22" t="s">
        <v>23</v>
      </c>
      <c r="I78" s="43">
        <f t="shared" si="28"/>
        <v>0</v>
      </c>
      <c r="J78" s="43">
        <f t="shared" si="29"/>
        <v>0</v>
      </c>
      <c r="K78" s="68">
        <f t="shared" si="30"/>
        <v>0</v>
      </c>
      <c r="N78" s="9" t="s">
        <v>23</v>
      </c>
      <c r="O78" s="43">
        <f t="shared" si="31"/>
        <v>0</v>
      </c>
      <c r="P78" s="43">
        <f t="shared" si="32"/>
        <v>0</v>
      </c>
      <c r="Q78" s="44">
        <f t="shared" si="33"/>
        <v>0</v>
      </c>
      <c r="R78" s="44">
        <f t="shared" ref="R78:R83" si="34">IF((R77-Q78)&gt;0,R77-Q78,0)</f>
        <v>0</v>
      </c>
      <c r="S78"/>
    </row>
    <row r="79" spans="1:19">
      <c r="A79" s="23">
        <v>68</v>
      </c>
      <c r="B79" s="43">
        <f t="shared" si="24"/>
        <v>0</v>
      </c>
      <c r="C79" s="123">
        <f t="shared" si="25"/>
        <v>0</v>
      </c>
      <c r="D79" s="43">
        <f t="shared" si="26"/>
        <v>0</v>
      </c>
      <c r="E79" s="44">
        <f t="shared" si="27"/>
        <v>0</v>
      </c>
      <c r="F79"/>
      <c r="H79" s="22" t="s">
        <v>24</v>
      </c>
      <c r="I79" s="43">
        <f t="shared" si="28"/>
        <v>0</v>
      </c>
      <c r="J79" s="43">
        <f t="shared" si="29"/>
        <v>0</v>
      </c>
      <c r="K79" s="68">
        <f t="shared" si="30"/>
        <v>0</v>
      </c>
      <c r="N79" s="9" t="s">
        <v>24</v>
      </c>
      <c r="O79" s="43">
        <f t="shared" si="31"/>
        <v>0</v>
      </c>
      <c r="P79" s="43">
        <f t="shared" si="32"/>
        <v>0</v>
      </c>
      <c r="Q79" s="44">
        <f t="shared" si="33"/>
        <v>0</v>
      </c>
      <c r="R79" s="44">
        <f t="shared" si="34"/>
        <v>0</v>
      </c>
      <c r="S79"/>
    </row>
    <row r="80" spans="1:19">
      <c r="A80" s="23">
        <v>69</v>
      </c>
      <c r="B80" s="43">
        <f t="shared" si="24"/>
        <v>0</v>
      </c>
      <c r="C80" s="123">
        <f t="shared" si="25"/>
        <v>0</v>
      </c>
      <c r="D80" s="43">
        <f t="shared" si="26"/>
        <v>0</v>
      </c>
      <c r="E80" s="44">
        <f t="shared" si="27"/>
        <v>0</v>
      </c>
      <c r="F80"/>
      <c r="H80" s="22" t="s">
        <v>25</v>
      </c>
      <c r="I80" s="43">
        <f t="shared" si="28"/>
        <v>0</v>
      </c>
      <c r="J80" s="43">
        <f t="shared" si="29"/>
        <v>0</v>
      </c>
      <c r="K80" s="68">
        <f t="shared" si="30"/>
        <v>0</v>
      </c>
      <c r="N80" s="9" t="s">
        <v>25</v>
      </c>
      <c r="O80" s="43">
        <f t="shared" si="31"/>
        <v>0</v>
      </c>
      <c r="P80" s="43">
        <f t="shared" si="32"/>
        <v>0</v>
      </c>
      <c r="Q80" s="44">
        <f t="shared" si="33"/>
        <v>0</v>
      </c>
      <c r="R80" s="44">
        <f t="shared" si="34"/>
        <v>0</v>
      </c>
      <c r="S80"/>
    </row>
    <row r="81" spans="1:19">
      <c r="A81" s="23">
        <v>70</v>
      </c>
      <c r="B81" s="43">
        <f t="shared" si="24"/>
        <v>0</v>
      </c>
      <c r="C81" s="123">
        <f t="shared" si="25"/>
        <v>0</v>
      </c>
      <c r="D81" s="43">
        <f t="shared" si="26"/>
        <v>0</v>
      </c>
      <c r="E81" s="44">
        <f t="shared" si="27"/>
        <v>0</v>
      </c>
      <c r="F81"/>
      <c r="H81" s="22" t="s">
        <v>26</v>
      </c>
      <c r="I81" s="43">
        <f t="shared" si="28"/>
        <v>0</v>
      </c>
      <c r="J81" s="43">
        <f t="shared" si="29"/>
        <v>0</v>
      </c>
      <c r="K81" s="68">
        <f t="shared" si="30"/>
        <v>0</v>
      </c>
      <c r="N81" s="9" t="s">
        <v>26</v>
      </c>
      <c r="O81" s="43">
        <f t="shared" si="31"/>
        <v>0</v>
      </c>
      <c r="P81" s="43">
        <f t="shared" si="32"/>
        <v>0</v>
      </c>
      <c r="Q81" s="44">
        <f t="shared" si="33"/>
        <v>0</v>
      </c>
      <c r="R81" s="44">
        <f t="shared" si="34"/>
        <v>0</v>
      </c>
      <c r="S81"/>
    </row>
    <row r="82" spans="1:19">
      <c r="A82" s="23">
        <v>71</v>
      </c>
      <c r="B82" s="43">
        <f t="shared" si="24"/>
        <v>0</v>
      </c>
      <c r="C82" s="123">
        <f t="shared" si="25"/>
        <v>0</v>
      </c>
      <c r="D82" s="43">
        <f t="shared" si="26"/>
        <v>0</v>
      </c>
      <c r="E82" s="44">
        <f t="shared" si="27"/>
        <v>0</v>
      </c>
      <c r="F82"/>
      <c r="H82" s="22" t="s">
        <v>27</v>
      </c>
      <c r="I82" s="43">
        <f t="shared" si="28"/>
        <v>0</v>
      </c>
      <c r="J82" s="43">
        <f t="shared" si="29"/>
        <v>0</v>
      </c>
      <c r="K82" s="68">
        <f t="shared" si="30"/>
        <v>0</v>
      </c>
      <c r="N82" s="9" t="s">
        <v>27</v>
      </c>
      <c r="O82" s="43">
        <f t="shared" si="31"/>
        <v>0</v>
      </c>
      <c r="P82" s="43">
        <f t="shared" si="32"/>
        <v>0</v>
      </c>
      <c r="Q82" s="44">
        <f t="shared" si="33"/>
        <v>0</v>
      </c>
      <c r="R82" s="44">
        <f t="shared" si="34"/>
        <v>0</v>
      </c>
      <c r="S82"/>
    </row>
    <row r="83" spans="1:19" ht="16.5" thickBot="1">
      <c r="A83" s="26">
        <v>72</v>
      </c>
      <c r="B83" s="48">
        <f>IF(A83&gt;$I$9,IF(E82&gt;1,PMT($B$6/$B$8,$B$7*$B$8,-$B$5),0),0)</f>
        <v>0</v>
      </c>
      <c r="C83" s="138">
        <f>IF(B83&gt;0,B83-D83,E83*($B$6/$B$8))</f>
        <v>0</v>
      </c>
      <c r="D83" s="48">
        <f>IF(A83&gt;$I$9,B83-(E82*($B$6/$B$8)),0)</f>
        <v>0</v>
      </c>
      <c r="E83" s="49">
        <f>IF((E82-D83)&gt;0,E82-D83,0)</f>
        <v>0</v>
      </c>
      <c r="F83" s="243">
        <f>SUM(D72:D83)</f>
        <v>0</v>
      </c>
      <c r="H83" s="38" t="s">
        <v>28</v>
      </c>
      <c r="I83" s="48">
        <f>IF($B$8=12,B83,IF($B$8=4,0,IF($B$8=6,0,IF($B$8=3,0,0))))</f>
        <v>0</v>
      </c>
      <c r="J83" s="48">
        <f>IF($B$8=12,C83,IF($B$8=4,0,IF($B$8=6,0,IF($B$8=3,0,0))))</f>
        <v>0</v>
      </c>
      <c r="K83" s="79">
        <f>IF($B$8=12,D83,IF($B$8=4,0,IF($B$8=6,0,IF($B$8=3,0,0))))</f>
        <v>0</v>
      </c>
      <c r="N83" s="36" t="s">
        <v>28</v>
      </c>
      <c r="O83" s="48">
        <f>IF($I$6=5,I35,IF($I$6=4,I47,IF($I$6=3,I59,IF($I$6=2,I71,IF($I$6=1,I83,0)))))</f>
        <v>0</v>
      </c>
      <c r="P83" s="48">
        <f>IF($I$6=5,J35,IF($I$6=4,J47,IF($I$6=3,J59,IF($I$6=2,J71,IF($I$6=1,J83,0)))))</f>
        <v>0</v>
      </c>
      <c r="Q83" s="49">
        <f>IF($I$6=5,K35,IF($I$6=4,K47,IF($I$6=3,K59,IF($I$6=2,K71,IF($I$6=1,K83,0)))))</f>
        <v>0</v>
      </c>
      <c r="R83" s="49">
        <f t="shared" si="34"/>
        <v>0</v>
      </c>
      <c r="S83" s="1100">
        <f>SUM(Q72:Q83)</f>
        <v>0</v>
      </c>
    </row>
    <row r="84" spans="1:19" ht="16.5" thickTop="1"/>
  </sheetData>
  <sheetProtection formatColumns="0" formatRows="0"/>
  <mergeCells count="10">
    <mergeCell ref="G12:G23"/>
    <mergeCell ref="G60:G71"/>
    <mergeCell ref="G24:G35"/>
    <mergeCell ref="G36:G47"/>
    <mergeCell ref="G48:G59"/>
    <mergeCell ref="M60:M71"/>
    <mergeCell ref="M12:M23"/>
    <mergeCell ref="M24:M35"/>
    <mergeCell ref="M36:M47"/>
    <mergeCell ref="M48:M59"/>
  </mergeCells>
  <phoneticPr fontId="9" type="noConversion"/>
  <dataValidations xWindow="178" yWindow="332" count="2">
    <dataValidation type="whole" allowBlank="1" showInputMessage="1" showErrorMessage="1" prompt="12 - Pago mensual_x000a_  6 - Pago bimestral_x000a_  4 - Pago trimestral_x000a_  3 - Pago cuatrimestral_x000a_  2 - Pago semestral_x000a_  1 - Pago anual" sqref="B8">
      <formula1>1</formula1>
      <formula2>12</formula2>
    </dataValidation>
    <dataValidation type="decimal" allowBlank="1" showErrorMessage="1" sqref="B9">
      <formula1>0</formula1>
      <formula2>12</formula2>
    </dataValidation>
  </dataValidations>
  <printOptions horizontalCentered="1"/>
  <pageMargins left="0.78740157480314965" right="0.75" top="0.47244094488188981" bottom="0.15748031496062992" header="0" footer="0"/>
  <pageSetup paperSize="9" scale="44"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U84"/>
  <sheetViews>
    <sheetView zoomScale="75" zoomScaleNormal="65" zoomScaleSheetLayoutView="50" workbookViewId="0">
      <selection activeCell="B5" sqref="B5"/>
    </sheetView>
  </sheetViews>
  <sheetFormatPr baseColWidth="10" defaultColWidth="11.1640625" defaultRowHeight="15.75"/>
  <cols>
    <col min="1" max="1" width="24" style="9" customWidth="1"/>
    <col min="2" max="3" width="18.33203125" style="9" customWidth="1"/>
    <col min="4" max="4" width="20.1640625" style="9" bestFit="1" customWidth="1"/>
    <col min="5" max="5" width="21.83203125" style="9" customWidth="1"/>
    <col min="6" max="6" width="7" style="9" customWidth="1"/>
    <col min="7" max="7" width="3.83203125" style="9" customWidth="1"/>
    <col min="8" max="8" width="26.1640625" style="9" customWidth="1"/>
    <col min="9" max="9" width="18" style="9" customWidth="1"/>
    <col min="10" max="10" width="18.33203125" style="9" customWidth="1"/>
    <col min="11" max="11" width="20.83203125" style="9" customWidth="1"/>
    <col min="12" max="12" width="7" style="9" customWidth="1"/>
    <col min="13" max="13" width="3.83203125" style="9" customWidth="1"/>
    <col min="14" max="14" width="19.33203125" style="9" customWidth="1"/>
    <col min="15" max="16" width="18.33203125" style="9" customWidth="1"/>
    <col min="17" max="17" width="20.83203125" style="9" customWidth="1"/>
    <col min="18" max="18" width="21" style="9" customWidth="1"/>
    <col min="19" max="19" width="14" style="9" customWidth="1"/>
    <col min="20" max="20" width="14.33203125" style="9" customWidth="1"/>
    <col min="21" max="21" width="16.33203125" style="9" customWidth="1"/>
    <col min="22" max="16384" width="11.1640625" style="9"/>
  </cols>
  <sheetData>
    <row r="1" spans="1:21" ht="39.950000000000003" customHeight="1" thickBot="1">
      <c r="A1" s="8" t="s">
        <v>123</v>
      </c>
      <c r="D1" s="96"/>
      <c r="E1" s="96"/>
      <c r="F1" s="96"/>
    </row>
    <row r="2" spans="1:21" ht="39.950000000000003" customHeight="1" thickTop="1" thickBot="1">
      <c r="A2" s="39"/>
      <c r="N2" s="17" t="s">
        <v>68</v>
      </c>
      <c r="O2" s="31" t="s">
        <v>14</v>
      </c>
      <c r="P2" s="31" t="s">
        <v>66</v>
      </c>
      <c r="Q2" s="33" t="s">
        <v>67</v>
      </c>
      <c r="R2" s="32" t="s">
        <v>15</v>
      </c>
      <c r="S2" s="242" t="s">
        <v>419</v>
      </c>
      <c r="T2" s="242" t="s">
        <v>420</v>
      </c>
      <c r="U2"/>
    </row>
    <row r="3" spans="1:21" ht="20.100000000000001" customHeight="1" thickTop="1">
      <c r="A3" s="8" t="str">
        <f>"Cuadro de Amortización del Crédito -  Año "&amp;'(0) 3b. Préstam Financ.'!Q15</f>
        <v xml:space="preserve">Cuadro de Amortización del Crédito -  Año </v>
      </c>
      <c r="G3" s="39"/>
      <c r="N3" s="27">
        <f>Año_comienzo_Plan</f>
        <v>0</v>
      </c>
      <c r="O3" s="41">
        <f>SUM(O12:O23)</f>
        <v>0</v>
      </c>
      <c r="P3" s="41">
        <f>SUM(P12:P23)</f>
        <v>0</v>
      </c>
      <c r="Q3" s="41">
        <f>SUM(Q12:Q23)</f>
        <v>0</v>
      </c>
      <c r="R3" s="44">
        <f>IF($I$6=1,$B$5-Q3,0)</f>
        <v>0</v>
      </c>
      <c r="S3" s="245">
        <v>0</v>
      </c>
      <c r="T3" s="245">
        <v>0</v>
      </c>
      <c r="U3" s="246">
        <f t="shared" ref="U3:U8" si="0">SUM(S3:T3)</f>
        <v>0</v>
      </c>
    </row>
    <row r="4" spans="1:21" ht="20.100000000000001" customHeight="1" thickBot="1">
      <c r="N4" s="28">
        <f>N3+1</f>
        <v>1</v>
      </c>
      <c r="O4" s="43">
        <f>SUM(O24:O35)</f>
        <v>0</v>
      </c>
      <c r="P4" s="43">
        <f>SUM(P24:P35)</f>
        <v>0</v>
      </c>
      <c r="Q4" s="43">
        <f>SUM(Q24:Q35)</f>
        <v>0</v>
      </c>
      <c r="R4" s="44">
        <f>IF($I$6=1,$B$5-(Q3+Q4),IF($I$6=2,$B$5-Q4,0))</f>
        <v>0</v>
      </c>
      <c r="S4" s="245">
        <v>0</v>
      </c>
      <c r="T4" s="245">
        <v>0</v>
      </c>
      <c r="U4" s="246">
        <f t="shared" si="0"/>
        <v>0</v>
      </c>
    </row>
    <row r="5" spans="1:21" ht="20.100000000000001" customHeight="1" thickTop="1" thickBot="1">
      <c r="A5" s="10" t="s">
        <v>54</v>
      </c>
      <c r="B5" s="124">
        <f>'(0) 3b. Préstam Financ.'!N17</f>
        <v>0</v>
      </c>
      <c r="C5" s="96"/>
      <c r="N5" s="28">
        <f>N3+2</f>
        <v>2</v>
      </c>
      <c r="O5" s="43">
        <f>SUM(O36:O47)</f>
        <v>0</v>
      </c>
      <c r="P5" s="43">
        <f>SUM(P36:P47)</f>
        <v>0</v>
      </c>
      <c r="Q5" s="43">
        <f>SUM(Q36:Q47)</f>
        <v>0</v>
      </c>
      <c r="R5" s="44">
        <f>IF($I$6=1,$B$5-(Q3+Q4+Q5),IF($I$6=2,$B$5-(Q4+Q5),IF($I$6=3,$B$5-(Q5),0)))</f>
        <v>0</v>
      </c>
      <c r="S5" s="245">
        <v>0</v>
      </c>
      <c r="T5" s="245">
        <v>0</v>
      </c>
      <c r="U5" s="246">
        <f t="shared" si="0"/>
        <v>0</v>
      </c>
    </row>
    <row r="6" spans="1:21" ht="20.100000000000001" customHeight="1" thickBot="1">
      <c r="A6" s="11" t="s">
        <v>9</v>
      </c>
      <c r="B6" s="125">
        <f>'(0) 3b. Préstam Financ.'!N18</f>
        <v>0.05</v>
      </c>
      <c r="C6" s="96"/>
      <c r="D6" s="106"/>
      <c r="E6" s="12" t="s">
        <v>70</v>
      </c>
      <c r="F6" s="13"/>
      <c r="G6" s="14"/>
      <c r="H6" s="14"/>
      <c r="I6" s="129" t="str">
        <f>IF('(0) 3b. Préstam Financ.'!N17&gt;0,4,"")</f>
        <v/>
      </c>
      <c r="J6" s="15" t="s">
        <v>75</v>
      </c>
      <c r="N6" s="28">
        <f>N3+3</f>
        <v>3</v>
      </c>
      <c r="O6" s="43">
        <f>SUM(O48:O59)</f>
        <v>0</v>
      </c>
      <c r="P6" s="43">
        <f>IF(SUM(P48:P59)&lt;&gt;0,SUM(P48:P59),0)</f>
        <v>0</v>
      </c>
      <c r="Q6" s="43">
        <f>SUM(Q48:Q59)</f>
        <v>0</v>
      </c>
      <c r="R6" s="44">
        <f>IF($I$6=1,$B$5-(Q3+Q4+Q5+Q6),IF($I$6=2,$B$5-(Q4+Q5+Q6),IF($I$6=3,$B$5-(Q5+Q6),IF($I$6=4,$B$5-Q6,0))))</f>
        <v>0</v>
      </c>
      <c r="S6" s="245">
        <f>IF($E$23=0,0,$E$23-$F$35)</f>
        <v>0</v>
      </c>
      <c r="T6" s="245">
        <f>$F$35</f>
        <v>0</v>
      </c>
      <c r="U6" s="246">
        <f t="shared" si="0"/>
        <v>0</v>
      </c>
    </row>
    <row r="7" spans="1:21" ht="20.100000000000001" customHeight="1" thickBot="1">
      <c r="A7" s="11" t="s">
        <v>10</v>
      </c>
      <c r="B7" s="126">
        <f>'(0) 3b. Préstam Financ.'!N19</f>
        <v>5</v>
      </c>
      <c r="C7" s="96"/>
      <c r="I7" s="131"/>
      <c r="N7" s="29">
        <f>N3+4</f>
        <v>4</v>
      </c>
      <c r="O7" s="48">
        <f>SUM(O60:O71)</f>
        <v>0</v>
      </c>
      <c r="P7" s="48">
        <f>SUM(P60:P71)</f>
        <v>0</v>
      </c>
      <c r="Q7" s="48">
        <f>SUM(Q60:Q71)</f>
        <v>0</v>
      </c>
      <c r="R7" s="49">
        <f>IF($I$6=1,$B$5-(Q3+Q4+Q5+Q6+Q7),IF($I$6=2,$B$5-(Q4+Q5+Q6+Q7),IF($I$6=3,$B$5-(Q5+Q6+Q7),IF($I$6=4,$B$5-(Q6+Q7),IF($I$6=5,$B$5-Q7,0)))))</f>
        <v>0</v>
      </c>
      <c r="S7" s="245">
        <f>IF($E$35=0,0,$E$35-$F$47)</f>
        <v>0</v>
      </c>
      <c r="T7" s="245">
        <f>F47</f>
        <v>0</v>
      </c>
      <c r="U7" s="246">
        <f t="shared" si="0"/>
        <v>0</v>
      </c>
    </row>
    <row r="8" spans="1:21" ht="20.100000000000001" customHeight="1" thickTop="1" thickBot="1">
      <c r="A8" s="11" t="s">
        <v>12</v>
      </c>
      <c r="B8" s="126">
        <f>'(0) 3b. Préstam Financ.'!N20</f>
        <v>12</v>
      </c>
      <c r="C8" s="96"/>
      <c r="N8" s="29">
        <f>N4+4</f>
        <v>5</v>
      </c>
      <c r="O8" s="48">
        <f>SUM(O72:O83)</f>
        <v>0</v>
      </c>
      <c r="P8" s="48">
        <f>SUM(P72:P83)</f>
        <v>0</v>
      </c>
      <c r="Q8" s="48">
        <f>SUM(Q72:Q83)</f>
        <v>0</v>
      </c>
      <c r="R8" s="49">
        <f>IF($I$6=1,$B$5-(Q3+Q4+Q5+Q6+Q7+Q8),IF($I$6=2,$B$5-(Q4+Q5+Q6+Q7+Q8),IF($I$6=3,$B$5-(Q5+Q6+Q7+Q8),IF($I$6=4,$B$5-(Q6+Q7+Q8),IF($I$6=5,$B$5-(Q7+Q8),IF($I$6=6,$B$5-(Q8),0))))))</f>
        <v>0</v>
      </c>
      <c r="S8" s="244"/>
      <c r="T8" s="244"/>
      <c r="U8" s="246">
        <f t="shared" si="0"/>
        <v>0</v>
      </c>
    </row>
    <row r="9" spans="1:21" ht="20.100000000000001" customHeight="1" thickTop="1" thickBot="1">
      <c r="A9" s="16"/>
      <c r="B9" s="127"/>
      <c r="C9" s="96"/>
      <c r="D9" s="108" t="s">
        <v>82</v>
      </c>
      <c r="E9" s="231">
        <f>'(0) 3b. Préstam Financ.'!N22*0</f>
        <v>0</v>
      </c>
      <c r="H9" s="108" t="s">
        <v>97</v>
      </c>
      <c r="I9" s="128">
        <f>'(0) 3b. Préstam Financ.'!N21</f>
        <v>0</v>
      </c>
    </row>
    <row r="10" spans="1:21" ht="20.100000000000001" customHeight="1" thickTop="1" thickBot="1"/>
    <row r="11" spans="1:21" ht="33" customHeight="1" thickTop="1" thickBot="1">
      <c r="A11" s="17" t="s">
        <v>13</v>
      </c>
      <c r="B11" s="31" t="s">
        <v>14</v>
      </c>
      <c r="C11" s="18" t="s">
        <v>11</v>
      </c>
      <c r="D11" s="18" t="s">
        <v>6</v>
      </c>
      <c r="E11" s="19" t="s">
        <v>15</v>
      </c>
      <c r="F11" s="64"/>
      <c r="H11" s="17" t="s">
        <v>42</v>
      </c>
      <c r="I11" s="31" t="s">
        <v>14</v>
      </c>
      <c r="J11" s="31" t="s">
        <v>66</v>
      </c>
      <c r="K11" s="32" t="s">
        <v>67</v>
      </c>
      <c r="L11" s="20"/>
      <c r="M11" s="30"/>
      <c r="N11" s="17" t="s">
        <v>42</v>
      </c>
      <c r="O11" s="31" t="s">
        <v>14</v>
      </c>
      <c r="P11" s="31" t="s">
        <v>66</v>
      </c>
      <c r="Q11" s="32" t="s">
        <v>67</v>
      </c>
    </row>
    <row r="12" spans="1:21" ht="15.75" customHeight="1" thickTop="1">
      <c r="A12" s="21">
        <v>1</v>
      </c>
      <c r="B12" s="43">
        <f t="shared" ref="B12:B43" si="1">IF(A12&gt;$I$9,IF(E11&gt;1,PMT($B$6/$B$8,$B$7*$B$8,-$B$5),0),0)</f>
        <v>0</v>
      </c>
      <c r="C12" s="122">
        <f>IF(B12&gt;0,B12-D12,E12*($B$6/$B$8))+E9</f>
        <v>0</v>
      </c>
      <c r="D12" s="41">
        <f>IF(A12&gt;$I$9,B12-($B$5*($B$6/$B$8)),0)</f>
        <v>0</v>
      </c>
      <c r="E12" s="67">
        <f>$B$5-D12</f>
        <v>0</v>
      </c>
      <c r="F12" s="51"/>
      <c r="G12" s="4194">
        <f>IF($B$5=0,$N$3,IF(O3&gt;0,N3,IF(O4&gt;0,N4,IF(O5&gt;0,N5,IF(O6&gt;0,N6,N7)))))</f>
        <v>0</v>
      </c>
      <c r="H12" s="34" t="s">
        <v>17</v>
      </c>
      <c r="I12" s="41">
        <f>$B$12</f>
        <v>0</v>
      </c>
      <c r="J12" s="41">
        <f>C12</f>
        <v>0</v>
      </c>
      <c r="K12" s="67">
        <f>D12</f>
        <v>0</v>
      </c>
      <c r="M12" s="4194">
        <f>'1.Datos Básicos. Product-Serv'!B7</f>
        <v>0</v>
      </c>
      <c r="N12" s="34" t="s">
        <v>17</v>
      </c>
      <c r="O12" s="41">
        <f t="shared" ref="O12:O23" si="2">IF($I$6=1,I12,0)</f>
        <v>0</v>
      </c>
      <c r="P12" s="41">
        <f t="shared" ref="P12:P23" si="3">IF($I$6=1,J12,0)</f>
        <v>0</v>
      </c>
      <c r="Q12" s="42">
        <f t="shared" ref="Q12:Q23" si="4">IF($I$6=1,K12,0)</f>
        <v>0</v>
      </c>
    </row>
    <row r="13" spans="1:21" ht="15.75" customHeight="1">
      <c r="A13" s="23">
        <v>2</v>
      </c>
      <c r="B13" s="43">
        <f t="shared" si="1"/>
        <v>0</v>
      </c>
      <c r="C13" s="123">
        <f t="shared" ref="C13:C71" si="5">IF(B13&gt;0,B13-D13,E13*($B$6/$B$8))</f>
        <v>0</v>
      </c>
      <c r="D13" s="43">
        <f t="shared" ref="D13:D44" si="6">IF(A13&gt;$I$9,B13-(E12*($B$6/$B$8)),0)</f>
        <v>0</v>
      </c>
      <c r="E13" s="68">
        <f t="shared" ref="E13:E44" si="7">IF((E12-D13)&gt;0,E12-D13,0)</f>
        <v>0</v>
      </c>
      <c r="F13" s="51"/>
      <c r="G13" s="4195"/>
      <c r="H13" s="9" t="s">
        <v>18</v>
      </c>
      <c r="I13" s="43">
        <f>IF($B$8=12,B13,0)</f>
        <v>0</v>
      </c>
      <c r="J13" s="43">
        <f>IF($B$8=12,C13,0)</f>
        <v>0</v>
      </c>
      <c r="K13" s="68">
        <f>IF($B$8=12,D13,0)</f>
        <v>0</v>
      </c>
      <c r="M13" s="4195"/>
      <c r="N13" s="9" t="s">
        <v>18</v>
      </c>
      <c r="O13" s="43">
        <f t="shared" si="2"/>
        <v>0</v>
      </c>
      <c r="P13" s="43">
        <f t="shared" si="3"/>
        <v>0</v>
      </c>
      <c r="Q13" s="44">
        <f t="shared" si="4"/>
        <v>0</v>
      </c>
    </row>
    <row r="14" spans="1:21" ht="15.75" customHeight="1">
      <c r="A14" s="23">
        <v>3</v>
      </c>
      <c r="B14" s="43">
        <f t="shared" si="1"/>
        <v>0</v>
      </c>
      <c r="C14" s="123">
        <f t="shared" si="5"/>
        <v>0</v>
      </c>
      <c r="D14" s="43">
        <f t="shared" si="6"/>
        <v>0</v>
      </c>
      <c r="E14" s="68">
        <f t="shared" si="7"/>
        <v>0</v>
      </c>
      <c r="F14" s="51"/>
      <c r="G14" s="4195"/>
      <c r="H14" s="9" t="s">
        <v>19</v>
      </c>
      <c r="I14" s="43">
        <f>IF($B$8=12,B14,IF($B$8=6,B13,0))</f>
        <v>0</v>
      </c>
      <c r="J14" s="43">
        <f>IF($B$8=12,C14,IF($B$8=6,C13,0))</f>
        <v>0</v>
      </c>
      <c r="K14" s="68">
        <f>IF($B$8=12,D14,IF($B$8=6,D13,0))</f>
        <v>0</v>
      </c>
      <c r="M14" s="4195"/>
      <c r="N14" s="9" t="s">
        <v>19</v>
      </c>
      <c r="O14" s="43">
        <f t="shared" si="2"/>
        <v>0</v>
      </c>
      <c r="P14" s="43">
        <f t="shared" si="3"/>
        <v>0</v>
      </c>
      <c r="Q14" s="44">
        <f t="shared" si="4"/>
        <v>0</v>
      </c>
    </row>
    <row r="15" spans="1:21" ht="15.75" customHeight="1">
      <c r="A15" s="23">
        <v>4</v>
      </c>
      <c r="B15" s="43">
        <f t="shared" si="1"/>
        <v>0</v>
      </c>
      <c r="C15" s="123">
        <f t="shared" si="5"/>
        <v>0</v>
      </c>
      <c r="D15" s="43">
        <f t="shared" si="6"/>
        <v>0</v>
      </c>
      <c r="E15" s="68">
        <f t="shared" si="7"/>
        <v>0</v>
      </c>
      <c r="F15" s="51"/>
      <c r="G15" s="4195"/>
      <c r="H15" s="9" t="s">
        <v>20</v>
      </c>
      <c r="I15" s="43">
        <f>IF($B$8=12,B15,IF($B$8=4,B13,IF($B$8=6,0,IF($B$8=3,0,0))))</f>
        <v>0</v>
      </c>
      <c r="J15" s="43">
        <f>IF($B$8=12,C15,IF($B$8=4,C13,IF($B$8=6,0,IF($B$8=3,0,0))))</f>
        <v>0</v>
      </c>
      <c r="K15" s="68">
        <f>IF($B$8=12,D15,IF($B$8=4,D13,IF($B$8=6,0,IF($B$8=3,0,0))))</f>
        <v>0</v>
      </c>
      <c r="M15" s="4195"/>
      <c r="N15" s="9" t="s">
        <v>20</v>
      </c>
      <c r="O15" s="43">
        <f t="shared" si="2"/>
        <v>0</v>
      </c>
      <c r="P15" s="43">
        <f t="shared" si="3"/>
        <v>0</v>
      </c>
      <c r="Q15" s="44">
        <f t="shared" si="4"/>
        <v>0</v>
      </c>
    </row>
    <row r="16" spans="1:21" ht="15.75" customHeight="1">
      <c r="A16" s="23">
        <v>5</v>
      </c>
      <c r="B16" s="43">
        <f t="shared" si="1"/>
        <v>0</v>
      </c>
      <c r="C16" s="123">
        <f t="shared" si="5"/>
        <v>0</v>
      </c>
      <c r="D16" s="43">
        <f t="shared" si="6"/>
        <v>0</v>
      </c>
      <c r="E16" s="68">
        <f t="shared" si="7"/>
        <v>0</v>
      </c>
      <c r="F16" s="51"/>
      <c r="G16" s="4195"/>
      <c r="H16" s="9" t="s">
        <v>21</v>
      </c>
      <c r="I16" s="43">
        <f>IF($B$8=12,B16,IF($B$8=4,0,IF($B$8=6,B14,IF($B$8=3,B13,0))))</f>
        <v>0</v>
      </c>
      <c r="J16" s="43">
        <f>IF($B$8=12,C16,IF($B$8=4,0,IF($B$8=6,C14,IF($B$8=3,C13,0))))</f>
        <v>0</v>
      </c>
      <c r="K16" s="68">
        <f>IF($B$8=12,D16,IF($B$8=4,0,IF($B$8=6,D14,IF($B$8=3,D13,0))))</f>
        <v>0</v>
      </c>
      <c r="M16" s="4195"/>
      <c r="N16" s="9" t="s">
        <v>21</v>
      </c>
      <c r="O16" s="43">
        <f t="shared" si="2"/>
        <v>0</v>
      </c>
      <c r="P16" s="43">
        <f t="shared" si="3"/>
        <v>0</v>
      </c>
      <c r="Q16" s="44">
        <f t="shared" si="4"/>
        <v>0</v>
      </c>
    </row>
    <row r="17" spans="1:17" ht="15.75" customHeight="1">
      <c r="A17" s="23">
        <v>6</v>
      </c>
      <c r="B17" s="43">
        <f t="shared" si="1"/>
        <v>0</v>
      </c>
      <c r="C17" s="123">
        <f t="shared" si="5"/>
        <v>0</v>
      </c>
      <c r="D17" s="43">
        <f t="shared" si="6"/>
        <v>0</v>
      </c>
      <c r="E17" s="68">
        <f t="shared" si="7"/>
        <v>0</v>
      </c>
      <c r="F17" s="51"/>
      <c r="G17" s="4195"/>
      <c r="H17" s="9" t="s">
        <v>22</v>
      </c>
      <c r="I17" s="43">
        <f>IF($B$8=12,B17,IF($B$8=4,0,IF($B$8=6,0,IF($B$8=3,0,0))))</f>
        <v>0</v>
      </c>
      <c r="J17" s="43">
        <f>IF($B$8=12,C17,IF($B$8=4,0,IF($B$8=6,0,IF($B$8=3,0,0))))</f>
        <v>0</v>
      </c>
      <c r="K17" s="68">
        <f>IF($B$8=12,D17,IF($B$8=4,0,IF($B$8=6,0,IF($B$8=3,0,0))))</f>
        <v>0</v>
      </c>
      <c r="M17" s="4195"/>
      <c r="N17" s="9" t="s">
        <v>22</v>
      </c>
      <c r="O17" s="43">
        <f t="shared" si="2"/>
        <v>0</v>
      </c>
      <c r="P17" s="43">
        <f t="shared" si="3"/>
        <v>0</v>
      </c>
      <c r="Q17" s="44">
        <f t="shared" si="4"/>
        <v>0</v>
      </c>
    </row>
    <row r="18" spans="1:17" ht="15.75" customHeight="1">
      <c r="A18" s="23">
        <v>7</v>
      </c>
      <c r="B18" s="43">
        <f t="shared" si="1"/>
        <v>0</v>
      </c>
      <c r="C18" s="123">
        <f t="shared" si="5"/>
        <v>0</v>
      </c>
      <c r="D18" s="43">
        <f t="shared" si="6"/>
        <v>0</v>
      </c>
      <c r="E18" s="68">
        <f t="shared" si="7"/>
        <v>0</v>
      </c>
      <c r="F18" s="51"/>
      <c r="G18" s="4195"/>
      <c r="H18" s="9" t="s">
        <v>23</v>
      </c>
      <c r="I18" s="43">
        <f>IF($B$8=12,B18,IF($B$8=4,B14,IF($B$8=6,B15,IF($B$8=3,0,IF($B$8=2,B13,0)))))</f>
        <v>0</v>
      </c>
      <c r="J18" s="43">
        <f>IF($B$8=12,C18,IF($B$8=4,C14,IF($B$8=6,C15,IF($B$8=3,0,IF($B$8=2,C13,0)))))</f>
        <v>0</v>
      </c>
      <c r="K18" s="68">
        <f>IF($B$8=12,D18,IF($B$8=4,D14,IF($B$8=6,D15,IF($B$8=3,0,IF($B$8=2,D13,0)))))</f>
        <v>0</v>
      </c>
      <c r="M18" s="4195"/>
      <c r="N18" s="9" t="s">
        <v>23</v>
      </c>
      <c r="O18" s="43">
        <f t="shared" si="2"/>
        <v>0</v>
      </c>
      <c r="P18" s="43">
        <f t="shared" si="3"/>
        <v>0</v>
      </c>
      <c r="Q18" s="44">
        <f t="shared" si="4"/>
        <v>0</v>
      </c>
    </row>
    <row r="19" spans="1:17" ht="15.75" customHeight="1">
      <c r="A19" s="23">
        <v>8</v>
      </c>
      <c r="B19" s="43">
        <f t="shared" si="1"/>
        <v>0</v>
      </c>
      <c r="C19" s="123">
        <f t="shared" si="5"/>
        <v>0</v>
      </c>
      <c r="D19" s="43">
        <f t="shared" si="6"/>
        <v>0</v>
      </c>
      <c r="E19" s="68">
        <f t="shared" si="7"/>
        <v>0</v>
      </c>
      <c r="F19" s="51"/>
      <c r="G19" s="4195"/>
      <c r="H19" s="9" t="s">
        <v>24</v>
      </c>
      <c r="I19" s="43">
        <f>IF($B$8=12,B19,IF($B$8=4,0,IF($B$8=6,0,IF($B$8=3,0,0))))</f>
        <v>0</v>
      </c>
      <c r="J19" s="43">
        <f>IF($B$8=12,C19,IF($B$8=4,0,IF($B$8=6,0,IF($B$8=3,0,0))))</f>
        <v>0</v>
      </c>
      <c r="K19" s="68">
        <f>IF($B$8=12,D19,IF($B$8=4,0,IF($B$8=6,0,IF($B$8=3,0,0))))</f>
        <v>0</v>
      </c>
      <c r="M19" s="4195"/>
      <c r="N19" s="9" t="s">
        <v>24</v>
      </c>
      <c r="O19" s="43">
        <f t="shared" si="2"/>
        <v>0</v>
      </c>
      <c r="P19" s="43">
        <f t="shared" si="3"/>
        <v>0</v>
      </c>
      <c r="Q19" s="44">
        <f t="shared" si="4"/>
        <v>0</v>
      </c>
    </row>
    <row r="20" spans="1:17" ht="15.75" customHeight="1">
      <c r="A20" s="23">
        <v>9</v>
      </c>
      <c r="B20" s="43">
        <f t="shared" si="1"/>
        <v>0</v>
      </c>
      <c r="C20" s="123">
        <f t="shared" si="5"/>
        <v>0</v>
      </c>
      <c r="D20" s="43">
        <f t="shared" si="6"/>
        <v>0</v>
      </c>
      <c r="E20" s="68">
        <f t="shared" si="7"/>
        <v>0</v>
      </c>
      <c r="F20" s="51"/>
      <c r="G20" s="4195"/>
      <c r="H20" s="9" t="s">
        <v>25</v>
      </c>
      <c r="I20" s="43">
        <f>IF($B$8=12,B20,IF($B$8=4,0,IF($B$8=6,B16,IF($B$8=3,B14,0))))</f>
        <v>0</v>
      </c>
      <c r="J20" s="43">
        <f>IF($B$8=12,C20,IF($B$8=4,0,IF($B$8=6,C16,IF($B$8=3,C14,0))))</f>
        <v>0</v>
      </c>
      <c r="K20" s="68">
        <f>IF($B$8=12,D20,IF($B$8=4,0,IF($B$8=6,D16,IF($B$8=3,D14,0))))</f>
        <v>0</v>
      </c>
      <c r="M20" s="4195"/>
      <c r="N20" s="9" t="s">
        <v>25</v>
      </c>
      <c r="O20" s="43">
        <f t="shared" si="2"/>
        <v>0</v>
      </c>
      <c r="P20" s="43">
        <f t="shared" si="3"/>
        <v>0</v>
      </c>
      <c r="Q20" s="44">
        <f t="shared" si="4"/>
        <v>0</v>
      </c>
    </row>
    <row r="21" spans="1:17" ht="15.75" customHeight="1">
      <c r="A21" s="23">
        <v>10</v>
      </c>
      <c r="B21" s="43">
        <f t="shared" si="1"/>
        <v>0</v>
      </c>
      <c r="C21" s="123">
        <f t="shared" si="5"/>
        <v>0</v>
      </c>
      <c r="D21" s="43">
        <f t="shared" si="6"/>
        <v>0</v>
      </c>
      <c r="E21" s="68">
        <f t="shared" si="7"/>
        <v>0</v>
      </c>
      <c r="F21" s="51"/>
      <c r="G21" s="4195"/>
      <c r="H21" s="9" t="s">
        <v>26</v>
      </c>
      <c r="I21" s="43">
        <f>IF($B$8=12,B21,IF($B$8=4,B15,IF($B$8=6,0,IF($B$8=3,0,0))))</f>
        <v>0</v>
      </c>
      <c r="J21" s="43">
        <f>IF($B$8=12,C21,IF($B$8=4,C15,IF($B$8=6,0,IF($B$8=3,0,0))))</f>
        <v>0</v>
      </c>
      <c r="K21" s="68">
        <f>IF($B$8=12,D21,IF($B$8=4,D15,IF($B$8=6,0,IF($B$8=3,0,0))))</f>
        <v>0</v>
      </c>
      <c r="M21" s="4195"/>
      <c r="N21" s="9" t="s">
        <v>26</v>
      </c>
      <c r="O21" s="43">
        <f t="shared" si="2"/>
        <v>0</v>
      </c>
      <c r="P21" s="43">
        <f t="shared" si="3"/>
        <v>0</v>
      </c>
      <c r="Q21" s="44">
        <f t="shared" si="4"/>
        <v>0</v>
      </c>
    </row>
    <row r="22" spans="1:17" ht="15.75" customHeight="1">
      <c r="A22" s="23">
        <v>11</v>
      </c>
      <c r="B22" s="43">
        <f t="shared" si="1"/>
        <v>0</v>
      </c>
      <c r="C22" s="123">
        <f t="shared" si="5"/>
        <v>0</v>
      </c>
      <c r="D22" s="43">
        <f t="shared" si="6"/>
        <v>0</v>
      </c>
      <c r="E22" s="68">
        <f t="shared" si="7"/>
        <v>0</v>
      </c>
      <c r="F22" s="51"/>
      <c r="G22" s="4195"/>
      <c r="H22" s="9" t="s">
        <v>27</v>
      </c>
      <c r="I22" s="43">
        <f>IF($B$8=12,B22,IF($B$8=4,0,IF($B$8=6,B17,IF($B$8=3,0,0))))</f>
        <v>0</v>
      </c>
      <c r="J22" s="43">
        <f>IF($B$8=12,C22,IF($B$8=4,0,IF($B$8=6,C17,IF($B$8=3,0,0))))</f>
        <v>0</v>
      </c>
      <c r="K22" s="68">
        <f>IF($B$8=12,D22,IF($B$8=4,0,IF($B$8=6,D17,IF($B$8=3,0,0))))</f>
        <v>0</v>
      </c>
      <c r="M22" s="4195"/>
      <c r="N22" s="9" t="s">
        <v>27</v>
      </c>
      <c r="O22" s="43">
        <f t="shared" si="2"/>
        <v>0</v>
      </c>
      <c r="P22" s="43">
        <f t="shared" si="3"/>
        <v>0</v>
      </c>
      <c r="Q22" s="44">
        <f t="shared" si="4"/>
        <v>0</v>
      </c>
    </row>
    <row r="23" spans="1:17" ht="15.75" customHeight="1" thickBot="1">
      <c r="A23" s="24">
        <v>12</v>
      </c>
      <c r="B23" s="70">
        <f t="shared" si="1"/>
        <v>0</v>
      </c>
      <c r="C23" s="139">
        <f t="shared" si="5"/>
        <v>0</v>
      </c>
      <c r="D23" s="70">
        <f t="shared" si="6"/>
        <v>0</v>
      </c>
      <c r="E23" s="75">
        <f t="shared" si="7"/>
        <v>0</v>
      </c>
      <c r="F23" s="243">
        <f>SUM(D12:D23)</f>
        <v>0</v>
      </c>
      <c r="G23" s="4196"/>
      <c r="H23" s="37" t="s">
        <v>28</v>
      </c>
      <c r="I23" s="70">
        <f>IF($B$8=12,B23,IF($B$8=4,0,IF($B$8=6,0,IF($B$8=3,0,0))))</f>
        <v>0</v>
      </c>
      <c r="J23" s="70">
        <f>IF($B$8=12,C23,IF($B$8=4,0,IF($B$8=6,0,IF($B$8=3,0,0))))</f>
        <v>0</v>
      </c>
      <c r="K23" s="72">
        <f>IF($B$8=12,D23,IF($B$8=4,0,IF($B$8=6,0,IF($B$8=3,0,0))))</f>
        <v>0</v>
      </c>
      <c r="M23" s="4196"/>
      <c r="N23" s="35" t="s">
        <v>28</v>
      </c>
      <c r="O23" s="45">
        <f t="shared" si="2"/>
        <v>0</v>
      </c>
      <c r="P23" s="45">
        <f t="shared" si="3"/>
        <v>0</v>
      </c>
      <c r="Q23" s="46">
        <f t="shared" si="4"/>
        <v>0</v>
      </c>
    </row>
    <row r="24" spans="1:17" ht="15.75" customHeight="1">
      <c r="A24" s="23">
        <v>13</v>
      </c>
      <c r="B24" s="43">
        <f t="shared" si="1"/>
        <v>0</v>
      </c>
      <c r="C24" s="123">
        <f t="shared" si="5"/>
        <v>0</v>
      </c>
      <c r="D24" s="43">
        <f t="shared" si="6"/>
        <v>0</v>
      </c>
      <c r="E24" s="68">
        <f t="shared" si="7"/>
        <v>0</v>
      </c>
      <c r="F24" s="51"/>
      <c r="G24" s="4194">
        <f>G12+1</f>
        <v>1</v>
      </c>
      <c r="H24" s="22" t="s">
        <v>17</v>
      </c>
      <c r="I24" s="43">
        <f>IF($B$8=12,B24,IF($B$8=4,B16,IF($B$8=6,B18,IF($B$8=3,B15,IF($B$8=2,B14,IF($B$8,B13,0))))))</f>
        <v>0</v>
      </c>
      <c r="J24" s="43">
        <f>IF($B$8=12,C24,IF($B$8=4,C16,IF($B$8=6,C18,IF($B$8=3,C15,IF($B$8=2,C14,IF($B$8,C13,0))))))</f>
        <v>0</v>
      </c>
      <c r="K24" s="68">
        <f>IF($B$8=12,D24,IF($B$8=4,D16,IF($B$8=6,D18,IF($B$8=3,D15,IF($B$8=2,D14,IF($B$8,D13,0))))))</f>
        <v>0</v>
      </c>
      <c r="M24" s="4194">
        <f>M12+1</f>
        <v>1</v>
      </c>
      <c r="N24" s="9" t="s">
        <v>17</v>
      </c>
      <c r="O24" s="43">
        <f t="shared" ref="O24:O35" si="8">IF($I$6=2,I12,IF($I$6=1,I24,0))</f>
        <v>0</v>
      </c>
      <c r="P24" s="43">
        <f t="shared" ref="P24:P35" si="9">IF($I$6=2,J12,IF($I$6=1,J24,0))</f>
        <v>0</v>
      </c>
      <c r="Q24" s="44">
        <f t="shared" ref="Q24:Q35" si="10">IF($I$6=2,K12,IF($I$6=1,K24,0))</f>
        <v>0</v>
      </c>
    </row>
    <row r="25" spans="1:17" ht="15.75" customHeight="1">
      <c r="A25" s="23">
        <v>14</v>
      </c>
      <c r="B25" s="43">
        <f t="shared" si="1"/>
        <v>0</v>
      </c>
      <c r="C25" s="123">
        <f t="shared" si="5"/>
        <v>0</v>
      </c>
      <c r="D25" s="43">
        <f t="shared" si="6"/>
        <v>0</v>
      </c>
      <c r="E25" s="68">
        <f t="shared" si="7"/>
        <v>0</v>
      </c>
      <c r="F25" s="51"/>
      <c r="G25" s="4195"/>
      <c r="H25" s="22" t="s">
        <v>18</v>
      </c>
      <c r="I25" s="43">
        <f>IF($B$8=12,B25,0)</f>
        <v>0</v>
      </c>
      <c r="J25" s="43">
        <f>IF($B$8=12,C25,0)</f>
        <v>0</v>
      </c>
      <c r="K25" s="68">
        <f>IF($B$8=12,D25,0)</f>
        <v>0</v>
      </c>
      <c r="M25" s="4195"/>
      <c r="N25" s="9" t="s">
        <v>18</v>
      </c>
      <c r="O25" s="43">
        <f t="shared" si="8"/>
        <v>0</v>
      </c>
      <c r="P25" s="43">
        <f t="shared" si="9"/>
        <v>0</v>
      </c>
      <c r="Q25" s="44">
        <f t="shared" si="10"/>
        <v>0</v>
      </c>
    </row>
    <row r="26" spans="1:17" ht="15.75" customHeight="1">
      <c r="A26" s="23">
        <v>15</v>
      </c>
      <c r="B26" s="43">
        <f t="shared" si="1"/>
        <v>0</v>
      </c>
      <c r="C26" s="123">
        <f t="shared" si="5"/>
        <v>0</v>
      </c>
      <c r="D26" s="43">
        <f t="shared" si="6"/>
        <v>0</v>
      </c>
      <c r="E26" s="68">
        <f t="shared" si="7"/>
        <v>0</v>
      </c>
      <c r="F26" s="51"/>
      <c r="G26" s="4195"/>
      <c r="H26" s="22" t="s">
        <v>19</v>
      </c>
      <c r="I26" s="43">
        <f>IF($B$8=12,B26,IF($B$8=6,B19,0))</f>
        <v>0</v>
      </c>
      <c r="J26" s="43">
        <f>IF($B$8=12,C26,IF($B$8=6,C19,0))</f>
        <v>0</v>
      </c>
      <c r="K26" s="68">
        <f>IF($B$8=12,D26,IF($B$8=6,D19,0))</f>
        <v>0</v>
      </c>
      <c r="M26" s="4195"/>
      <c r="N26" s="9" t="s">
        <v>19</v>
      </c>
      <c r="O26" s="43">
        <f t="shared" si="8"/>
        <v>0</v>
      </c>
      <c r="P26" s="43">
        <f t="shared" si="9"/>
        <v>0</v>
      </c>
      <c r="Q26" s="44">
        <f t="shared" si="10"/>
        <v>0</v>
      </c>
    </row>
    <row r="27" spans="1:17" ht="15.75" customHeight="1">
      <c r="A27" s="23">
        <v>16</v>
      </c>
      <c r="B27" s="43">
        <f t="shared" si="1"/>
        <v>0</v>
      </c>
      <c r="C27" s="123">
        <f t="shared" si="5"/>
        <v>0</v>
      </c>
      <c r="D27" s="43">
        <f t="shared" si="6"/>
        <v>0</v>
      </c>
      <c r="E27" s="68">
        <f t="shared" si="7"/>
        <v>0</v>
      </c>
      <c r="F27" s="51"/>
      <c r="G27" s="4195"/>
      <c r="H27" s="22" t="s">
        <v>20</v>
      </c>
      <c r="I27" s="43">
        <f>IF($B$8=12,B27,IF($B$8=4,B17,IF($B$8=6,0,IF($B$8=3,0,0))))</f>
        <v>0</v>
      </c>
      <c r="J27" s="43">
        <f>IF($B$8=12,C27,IF($B$8=4,C17,IF($B$8=6,0,IF($B$8=3,0,0))))</f>
        <v>0</v>
      </c>
      <c r="K27" s="68">
        <f>IF($B$8=12,D27,IF($B$8=4,D17,IF($B$8=6,0,IF($B$8=3,0,0))))</f>
        <v>0</v>
      </c>
      <c r="M27" s="4195"/>
      <c r="N27" s="9" t="s">
        <v>20</v>
      </c>
      <c r="O27" s="43">
        <f t="shared" si="8"/>
        <v>0</v>
      </c>
      <c r="P27" s="43">
        <f t="shared" si="9"/>
        <v>0</v>
      </c>
      <c r="Q27" s="44">
        <f t="shared" si="10"/>
        <v>0</v>
      </c>
    </row>
    <row r="28" spans="1:17" ht="15.75" customHeight="1">
      <c r="A28" s="23">
        <v>17</v>
      </c>
      <c r="B28" s="43">
        <f t="shared" si="1"/>
        <v>0</v>
      </c>
      <c r="C28" s="123">
        <f t="shared" si="5"/>
        <v>0</v>
      </c>
      <c r="D28" s="43">
        <f t="shared" si="6"/>
        <v>0</v>
      </c>
      <c r="E28" s="68">
        <f t="shared" si="7"/>
        <v>0</v>
      </c>
      <c r="F28" s="51"/>
      <c r="G28" s="4195"/>
      <c r="H28" s="22" t="s">
        <v>21</v>
      </c>
      <c r="I28" s="43">
        <f>IF($B$8=12,B28,IF($B$8=4,0,IF($B$8=6,B20,IF($B$8=3,B16,0))))</f>
        <v>0</v>
      </c>
      <c r="J28" s="43">
        <f>IF($B$8=12,C28,IF($B$8=4,0,IF($B$8=6,C20,IF($B$8=3,C16,0))))</f>
        <v>0</v>
      </c>
      <c r="K28" s="68">
        <f>IF($B$8=12,D28,IF($B$8=4,0,IF($B$8=6,D20,IF($B$8=3,D16,0))))</f>
        <v>0</v>
      </c>
      <c r="M28" s="4195"/>
      <c r="N28" s="9" t="s">
        <v>21</v>
      </c>
      <c r="O28" s="43">
        <f t="shared" si="8"/>
        <v>0</v>
      </c>
      <c r="P28" s="43">
        <f t="shared" si="9"/>
        <v>0</v>
      </c>
      <c r="Q28" s="44">
        <f t="shared" si="10"/>
        <v>0</v>
      </c>
    </row>
    <row r="29" spans="1:17" ht="15.75" customHeight="1">
      <c r="A29" s="23">
        <v>18</v>
      </c>
      <c r="B29" s="43">
        <f t="shared" si="1"/>
        <v>0</v>
      </c>
      <c r="C29" s="123">
        <f t="shared" si="5"/>
        <v>0</v>
      </c>
      <c r="D29" s="43">
        <f t="shared" si="6"/>
        <v>0</v>
      </c>
      <c r="E29" s="68">
        <f t="shared" si="7"/>
        <v>0</v>
      </c>
      <c r="F29" s="51"/>
      <c r="G29" s="4195"/>
      <c r="H29" s="22" t="s">
        <v>22</v>
      </c>
      <c r="I29" s="43">
        <f>IF($B$8=12,B29,IF($B$8=4,0,IF($B$8=6,0,IF($B$8=3,0,0))))</f>
        <v>0</v>
      </c>
      <c r="J29" s="43">
        <f>IF($B$8=12,C29,IF($B$8=4,0,IF($B$8=6,0,IF($B$8=3,0,0))))</f>
        <v>0</v>
      </c>
      <c r="K29" s="68">
        <f>IF($B$8=12,D29,IF($B$8=4,0,IF($B$8=6,0,IF($B$8=3,0,0))))</f>
        <v>0</v>
      </c>
      <c r="M29" s="4195"/>
      <c r="N29" s="9" t="s">
        <v>22</v>
      </c>
      <c r="O29" s="43">
        <f t="shared" si="8"/>
        <v>0</v>
      </c>
      <c r="P29" s="43">
        <f t="shared" si="9"/>
        <v>0</v>
      </c>
      <c r="Q29" s="44">
        <f t="shared" si="10"/>
        <v>0</v>
      </c>
    </row>
    <row r="30" spans="1:17" ht="15.75" customHeight="1">
      <c r="A30" s="23">
        <v>19</v>
      </c>
      <c r="B30" s="43">
        <f t="shared" si="1"/>
        <v>0</v>
      </c>
      <c r="C30" s="123">
        <f t="shared" si="5"/>
        <v>0</v>
      </c>
      <c r="D30" s="43">
        <f t="shared" si="6"/>
        <v>0</v>
      </c>
      <c r="E30" s="68">
        <f t="shared" si="7"/>
        <v>0</v>
      </c>
      <c r="F30" s="51"/>
      <c r="G30" s="4195"/>
      <c r="H30" s="22" t="s">
        <v>23</v>
      </c>
      <c r="I30" s="43">
        <f>IF($B$8=12,B30,IF($B$8=4,B18,IF($B$8=6,B21,IF($B$8=3,0,IF($B$8=2,B15,0)))))</f>
        <v>0</v>
      </c>
      <c r="J30" s="43">
        <f>IF($B$8=12,C30,IF($B$8=4,C18,IF($B$8=6,C21,IF($B$8=3,0,IF($B$8=2,C15,0)))))</f>
        <v>0</v>
      </c>
      <c r="K30" s="68">
        <f>IF($B$8=12,D30,IF($B$8=4,D18,IF($B$8=6,D21,IF($B$8=3,0,IF($B$8=2,D15,0)))))</f>
        <v>0</v>
      </c>
      <c r="M30" s="4195"/>
      <c r="N30" s="9" t="s">
        <v>23</v>
      </c>
      <c r="O30" s="43">
        <f t="shared" si="8"/>
        <v>0</v>
      </c>
      <c r="P30" s="43">
        <f t="shared" si="9"/>
        <v>0</v>
      </c>
      <c r="Q30" s="44">
        <f t="shared" si="10"/>
        <v>0</v>
      </c>
    </row>
    <row r="31" spans="1:17" ht="15.75" customHeight="1">
      <c r="A31" s="23">
        <v>20</v>
      </c>
      <c r="B31" s="43">
        <f t="shared" si="1"/>
        <v>0</v>
      </c>
      <c r="C31" s="123">
        <f t="shared" si="5"/>
        <v>0</v>
      </c>
      <c r="D31" s="43">
        <f t="shared" si="6"/>
        <v>0</v>
      </c>
      <c r="E31" s="68">
        <f t="shared" si="7"/>
        <v>0</v>
      </c>
      <c r="F31" s="51"/>
      <c r="G31" s="4195"/>
      <c r="H31" s="22" t="s">
        <v>24</v>
      </c>
      <c r="I31" s="43">
        <f>IF($B$8=12,B31,IF($B$8=4,0,IF($B$8=6,0,IF($B$8=3,0,0))))</f>
        <v>0</v>
      </c>
      <c r="J31" s="43">
        <f>IF($B$8=12,C31,IF($B$8=4,0,IF($B$8=6,0,IF($B$8=3,0,0))))</f>
        <v>0</v>
      </c>
      <c r="K31" s="68">
        <f>IF($B$8=12,D31,IF($B$8=4,0,IF($B$8=6,0,IF($B$8=3,0,0))))</f>
        <v>0</v>
      </c>
      <c r="M31" s="4195"/>
      <c r="N31" s="9" t="s">
        <v>24</v>
      </c>
      <c r="O31" s="43">
        <f t="shared" si="8"/>
        <v>0</v>
      </c>
      <c r="P31" s="43">
        <f t="shared" si="9"/>
        <v>0</v>
      </c>
      <c r="Q31" s="44">
        <f t="shared" si="10"/>
        <v>0</v>
      </c>
    </row>
    <row r="32" spans="1:17" ht="15.75" customHeight="1">
      <c r="A32" s="23">
        <v>21</v>
      </c>
      <c r="B32" s="43">
        <f t="shared" si="1"/>
        <v>0</v>
      </c>
      <c r="C32" s="123">
        <f t="shared" si="5"/>
        <v>0</v>
      </c>
      <c r="D32" s="43">
        <f t="shared" si="6"/>
        <v>0</v>
      </c>
      <c r="E32" s="68">
        <f t="shared" si="7"/>
        <v>0</v>
      </c>
      <c r="F32" s="51"/>
      <c r="G32" s="4195"/>
      <c r="H32" s="22" t="s">
        <v>25</v>
      </c>
      <c r="I32" s="43">
        <f>IF($B$8=12,B32,IF($B$8=4,0,IF($B$8=6,B22,IF($B$8=3,B17,0))))</f>
        <v>0</v>
      </c>
      <c r="J32" s="43">
        <f>IF($B$8=12,C32,IF($B$8=4,0,IF($B$8=6,C22,IF($B$8=3,C17,0))))</f>
        <v>0</v>
      </c>
      <c r="K32" s="68">
        <f>IF($B$8=12,D32,IF($B$8=4,0,IF($B$8=6,D22,IF($B$8=3,D17,0))))</f>
        <v>0</v>
      </c>
      <c r="M32" s="4195"/>
      <c r="N32" s="9" t="s">
        <v>25</v>
      </c>
      <c r="O32" s="43">
        <f t="shared" si="8"/>
        <v>0</v>
      </c>
      <c r="P32" s="43">
        <f t="shared" si="9"/>
        <v>0</v>
      </c>
      <c r="Q32" s="44">
        <f t="shared" si="10"/>
        <v>0</v>
      </c>
    </row>
    <row r="33" spans="1:17" ht="15.75" customHeight="1">
      <c r="A33" s="23">
        <v>22</v>
      </c>
      <c r="B33" s="43">
        <f t="shared" si="1"/>
        <v>0</v>
      </c>
      <c r="C33" s="123">
        <f t="shared" si="5"/>
        <v>0</v>
      </c>
      <c r="D33" s="43">
        <f t="shared" si="6"/>
        <v>0</v>
      </c>
      <c r="E33" s="68">
        <f t="shared" si="7"/>
        <v>0</v>
      </c>
      <c r="F33" s="51"/>
      <c r="G33" s="4195"/>
      <c r="H33" s="22" t="s">
        <v>26</v>
      </c>
      <c r="I33" s="43">
        <f>IF($B$8=12,B33,IF($B$8=4,B19,IF($B$8=6,0,IF($B$8=3,0,0))))</f>
        <v>0</v>
      </c>
      <c r="J33" s="43">
        <f>IF($B$8=12,C33,IF($B$8=4,C19,IF($B$8=6,0,IF($B$8=3,0,0))))</f>
        <v>0</v>
      </c>
      <c r="K33" s="68">
        <f>IF($B$8=12,D33,IF($B$8=4,D19,IF($B$8=6,0,IF($B$8=3,0,0))))</f>
        <v>0</v>
      </c>
      <c r="M33" s="4195"/>
      <c r="N33" s="9" t="s">
        <v>26</v>
      </c>
      <c r="O33" s="43">
        <f t="shared" si="8"/>
        <v>0</v>
      </c>
      <c r="P33" s="43">
        <f t="shared" si="9"/>
        <v>0</v>
      </c>
      <c r="Q33" s="44">
        <f t="shared" si="10"/>
        <v>0</v>
      </c>
    </row>
    <row r="34" spans="1:17" ht="15.75" customHeight="1">
      <c r="A34" s="23">
        <v>23</v>
      </c>
      <c r="B34" s="43">
        <f t="shared" si="1"/>
        <v>0</v>
      </c>
      <c r="C34" s="123">
        <f t="shared" si="5"/>
        <v>0</v>
      </c>
      <c r="D34" s="43">
        <f t="shared" si="6"/>
        <v>0</v>
      </c>
      <c r="E34" s="68">
        <f t="shared" si="7"/>
        <v>0</v>
      </c>
      <c r="F34" s="51"/>
      <c r="G34" s="4195"/>
      <c r="H34" s="22" t="s">
        <v>27</v>
      </c>
      <c r="I34" s="43">
        <f>IF($B$8=12,B34,IF($B$8=4,0,IF($B$8=6,B23,IF($B$8=3,0,0))))</f>
        <v>0</v>
      </c>
      <c r="J34" s="43">
        <f>IF($B$8=12,C34,IF($B$8=4,0,IF($B$8=6,C23,IF($B$8=3,0,0))))</f>
        <v>0</v>
      </c>
      <c r="K34" s="68">
        <f>IF($B$8=12,D34,IF($B$8=4,0,IF($B$8=6,D23,IF($B$8=3,0,0))))</f>
        <v>0</v>
      </c>
      <c r="M34" s="4195"/>
      <c r="N34" s="9" t="s">
        <v>27</v>
      </c>
      <c r="O34" s="43">
        <f t="shared" si="8"/>
        <v>0</v>
      </c>
      <c r="P34" s="43">
        <f t="shared" si="9"/>
        <v>0</v>
      </c>
      <c r="Q34" s="44">
        <f t="shared" si="10"/>
        <v>0</v>
      </c>
    </row>
    <row r="35" spans="1:17" ht="15.75" customHeight="1" thickBot="1">
      <c r="A35" s="24">
        <v>24</v>
      </c>
      <c r="B35" s="70">
        <f t="shared" si="1"/>
        <v>0</v>
      </c>
      <c r="C35" s="139">
        <f t="shared" si="5"/>
        <v>0</v>
      </c>
      <c r="D35" s="70">
        <f t="shared" si="6"/>
        <v>0</v>
      </c>
      <c r="E35" s="75">
        <f t="shared" si="7"/>
        <v>0</v>
      </c>
      <c r="F35" s="243">
        <f>SUM(D24:D35)</f>
        <v>0</v>
      </c>
      <c r="G35" s="4196"/>
      <c r="H35" s="25" t="s">
        <v>28</v>
      </c>
      <c r="I35" s="70">
        <f>IF($B$8=12,B35,IF($B$8=4,0,IF($B$8=6,0,IF($B$8=3,0,0))))</f>
        <v>0</v>
      </c>
      <c r="J35" s="70">
        <f>IF($B$8=12,C35,IF($B$8=4,0,IF($B$8=6,0,IF($B$8=3,0,0))))</f>
        <v>0</v>
      </c>
      <c r="K35" s="72">
        <f>IF($B$8=12,D35,IF($B$8=4,0,IF($B$8=6,0,IF($B$8=3,0,0))))</f>
        <v>0</v>
      </c>
      <c r="M35" s="4196"/>
      <c r="N35" s="35" t="s">
        <v>28</v>
      </c>
      <c r="O35" s="43">
        <f t="shared" si="8"/>
        <v>0</v>
      </c>
      <c r="P35" s="43">
        <f t="shared" si="9"/>
        <v>0</v>
      </c>
      <c r="Q35" s="46">
        <f t="shared" si="10"/>
        <v>0</v>
      </c>
    </row>
    <row r="36" spans="1:17" ht="15.75" customHeight="1">
      <c r="A36" s="23">
        <v>25</v>
      </c>
      <c r="B36" s="43">
        <f t="shared" si="1"/>
        <v>0</v>
      </c>
      <c r="C36" s="123">
        <f t="shared" si="5"/>
        <v>0</v>
      </c>
      <c r="D36" s="43">
        <f t="shared" si="6"/>
        <v>0</v>
      </c>
      <c r="E36" s="68">
        <f t="shared" si="7"/>
        <v>0</v>
      </c>
      <c r="F36" s="51"/>
      <c r="G36" s="4194">
        <f>G24+1</f>
        <v>2</v>
      </c>
      <c r="H36" s="22" t="s">
        <v>17</v>
      </c>
      <c r="I36" s="43">
        <f>IF($B$8=12,B36,IF($B$8=4,B20,IF($B$8=6,B24,IF($B$8=3,B18,IF($B$8=2,B16,IF($B$8=1,B14,0))))))</f>
        <v>0</v>
      </c>
      <c r="J36" s="43">
        <f>IF($B$8=12,C36,IF($B$8=4,C20,IF($B$8=6,C24,IF($B$8=3,C18,IF($B$8=2,C16,IF($B$8=1,C14,0))))))</f>
        <v>0</v>
      </c>
      <c r="K36" s="68">
        <f>IF($B$8=12,D36,IF($B$8=4,D20,IF($B$8=6,D24,IF($B$8=3,D18,IF($B$8=2,D16,IF($B$8=1,D14,0))))))</f>
        <v>0</v>
      </c>
      <c r="M36" s="4194">
        <f>M12+2</f>
        <v>2</v>
      </c>
      <c r="N36" s="9" t="s">
        <v>17</v>
      </c>
      <c r="O36" s="76">
        <f t="shared" ref="O36:O47" si="11">IF($I$6=3,I12,IF($I$6=2,I24,IF($I$6=1,I36,0)))</f>
        <v>0</v>
      </c>
      <c r="P36" s="76">
        <f t="shared" ref="P36:P47" si="12">IF($I$6=3,J12,IF($I$6=2,J24,IF($I$6=1,J36,0)))</f>
        <v>0</v>
      </c>
      <c r="Q36" s="77">
        <f t="shared" ref="Q36:Q47" si="13">IF($I$6=3,K12,IF($I$6=2,K24,IF($I$6=1,K36,0)))</f>
        <v>0</v>
      </c>
    </row>
    <row r="37" spans="1:17" ht="15.75" customHeight="1">
      <c r="A37" s="23">
        <v>26</v>
      </c>
      <c r="B37" s="43">
        <f t="shared" si="1"/>
        <v>0</v>
      </c>
      <c r="C37" s="123">
        <f t="shared" si="5"/>
        <v>0</v>
      </c>
      <c r="D37" s="43">
        <f t="shared" si="6"/>
        <v>0</v>
      </c>
      <c r="E37" s="68">
        <f t="shared" si="7"/>
        <v>0</v>
      </c>
      <c r="F37" s="51"/>
      <c r="G37" s="4195"/>
      <c r="H37" s="22" t="s">
        <v>18</v>
      </c>
      <c r="I37" s="43">
        <f>IF($B$8=12,B37,0)</f>
        <v>0</v>
      </c>
      <c r="J37" s="43">
        <f>IF($B$8=12,C37,0)</f>
        <v>0</v>
      </c>
      <c r="K37" s="68">
        <f>IF($B$8=12,D37,0)</f>
        <v>0</v>
      </c>
      <c r="M37" s="4195"/>
      <c r="N37" s="9" t="s">
        <v>18</v>
      </c>
      <c r="O37" s="43">
        <f t="shared" si="11"/>
        <v>0</v>
      </c>
      <c r="P37" s="43">
        <f t="shared" si="12"/>
        <v>0</v>
      </c>
      <c r="Q37" s="44">
        <f t="shared" si="13"/>
        <v>0</v>
      </c>
    </row>
    <row r="38" spans="1:17" ht="15.75" customHeight="1">
      <c r="A38" s="23">
        <v>27</v>
      </c>
      <c r="B38" s="43">
        <f t="shared" si="1"/>
        <v>0</v>
      </c>
      <c r="C38" s="123">
        <f t="shared" si="5"/>
        <v>0</v>
      </c>
      <c r="D38" s="43">
        <f t="shared" si="6"/>
        <v>0</v>
      </c>
      <c r="E38" s="68">
        <f t="shared" si="7"/>
        <v>0</v>
      </c>
      <c r="F38" s="51"/>
      <c r="G38" s="4195"/>
      <c r="H38" s="22" t="s">
        <v>19</v>
      </c>
      <c r="I38" s="43">
        <f>IF($B$8=12,B38,IF($B$8=6,B25,0))</f>
        <v>0</v>
      </c>
      <c r="J38" s="43">
        <f>IF($B$8=12,C38,IF($B$8=6,C25,0))</f>
        <v>0</v>
      </c>
      <c r="K38" s="68">
        <f>IF($B$8=12,D38,IF($B$8=6,D25,0))</f>
        <v>0</v>
      </c>
      <c r="M38" s="4195"/>
      <c r="N38" s="9" t="s">
        <v>19</v>
      </c>
      <c r="O38" s="43">
        <f t="shared" si="11"/>
        <v>0</v>
      </c>
      <c r="P38" s="43">
        <f t="shared" si="12"/>
        <v>0</v>
      </c>
      <c r="Q38" s="44">
        <f t="shared" si="13"/>
        <v>0</v>
      </c>
    </row>
    <row r="39" spans="1:17" ht="15.75" customHeight="1">
      <c r="A39" s="23">
        <v>28</v>
      </c>
      <c r="B39" s="43">
        <f t="shared" si="1"/>
        <v>0</v>
      </c>
      <c r="C39" s="123">
        <f t="shared" si="5"/>
        <v>0</v>
      </c>
      <c r="D39" s="43">
        <f t="shared" si="6"/>
        <v>0</v>
      </c>
      <c r="E39" s="68">
        <f t="shared" si="7"/>
        <v>0</v>
      </c>
      <c r="F39" s="51"/>
      <c r="G39" s="4195"/>
      <c r="H39" s="22" t="s">
        <v>20</v>
      </c>
      <c r="I39" s="43">
        <f>IF($B$8=12,B39,IF($B$8=4,B21,IF($B$8=6,0,IF($B$8=3,0,0))))</f>
        <v>0</v>
      </c>
      <c r="J39" s="43">
        <f>IF($B$8=12,C39,IF($B$8=4,C21,IF($B$8=6,0,IF($B$8=3,0,0))))</f>
        <v>0</v>
      </c>
      <c r="K39" s="68">
        <f>IF($B$8=12,D39,IF($B$8=4,D21,IF($B$8=6,0,IF($B$8=3,0,0))))</f>
        <v>0</v>
      </c>
      <c r="M39" s="4195"/>
      <c r="N39" s="9" t="s">
        <v>20</v>
      </c>
      <c r="O39" s="43">
        <f t="shared" si="11"/>
        <v>0</v>
      </c>
      <c r="P39" s="43">
        <f t="shared" si="12"/>
        <v>0</v>
      </c>
      <c r="Q39" s="44">
        <f t="shared" si="13"/>
        <v>0</v>
      </c>
    </row>
    <row r="40" spans="1:17" ht="15.75" customHeight="1">
      <c r="A40" s="23">
        <v>29</v>
      </c>
      <c r="B40" s="43">
        <f t="shared" si="1"/>
        <v>0</v>
      </c>
      <c r="C40" s="123">
        <f t="shared" si="5"/>
        <v>0</v>
      </c>
      <c r="D40" s="43">
        <f t="shared" si="6"/>
        <v>0</v>
      </c>
      <c r="E40" s="68">
        <f t="shared" si="7"/>
        <v>0</v>
      </c>
      <c r="F40" s="51"/>
      <c r="G40" s="4195"/>
      <c r="H40" s="22" t="s">
        <v>21</v>
      </c>
      <c r="I40" s="43">
        <f>IF($B$8=12,B40,IF($B$8=4,0,IF($B$8=6,B26,IF($B$8=3,B19,0))))</f>
        <v>0</v>
      </c>
      <c r="J40" s="43">
        <f>IF($B$8=12,C40,IF($B$8=4,0,IF($B$8=6,C26,IF($B$8=3,C19,0))))</f>
        <v>0</v>
      </c>
      <c r="K40" s="68">
        <f>IF($B$8=12,D40,IF($B$8=4,0,IF($B$8=6,D26,IF($B$8=3,D19,0))))</f>
        <v>0</v>
      </c>
      <c r="M40" s="4195"/>
      <c r="N40" s="9" t="s">
        <v>21</v>
      </c>
      <c r="O40" s="43">
        <f t="shared" si="11"/>
        <v>0</v>
      </c>
      <c r="P40" s="43">
        <f t="shared" si="12"/>
        <v>0</v>
      </c>
      <c r="Q40" s="44">
        <f t="shared" si="13"/>
        <v>0</v>
      </c>
    </row>
    <row r="41" spans="1:17" ht="15.75" customHeight="1">
      <c r="A41" s="23">
        <v>30</v>
      </c>
      <c r="B41" s="43">
        <f t="shared" si="1"/>
        <v>0</v>
      </c>
      <c r="C41" s="123">
        <f t="shared" si="5"/>
        <v>0</v>
      </c>
      <c r="D41" s="43">
        <f t="shared" si="6"/>
        <v>0</v>
      </c>
      <c r="E41" s="68">
        <f t="shared" si="7"/>
        <v>0</v>
      </c>
      <c r="F41" s="51"/>
      <c r="G41" s="4195"/>
      <c r="H41" s="22" t="s">
        <v>22</v>
      </c>
      <c r="I41" s="43">
        <f>IF($B$8=12,B41,IF($B$8=4,0,IF($B$8=6,0,IF($B$8=3,0,0))))</f>
        <v>0</v>
      </c>
      <c r="J41" s="43">
        <f>IF($B$8=12,C41,IF($B$8=4,0,IF($B$8=6,0,IF($B$8=3,0,0))))</f>
        <v>0</v>
      </c>
      <c r="K41" s="68">
        <f>IF($B$8=12,D41,IF($B$8=4,0,IF($B$8=6,0,IF($B$8=3,0,0))))</f>
        <v>0</v>
      </c>
      <c r="M41" s="4195"/>
      <c r="N41" s="9" t="s">
        <v>22</v>
      </c>
      <c r="O41" s="43">
        <f t="shared" si="11"/>
        <v>0</v>
      </c>
      <c r="P41" s="43">
        <f t="shared" si="12"/>
        <v>0</v>
      </c>
      <c r="Q41" s="44">
        <f t="shared" si="13"/>
        <v>0</v>
      </c>
    </row>
    <row r="42" spans="1:17" ht="15.75" customHeight="1">
      <c r="A42" s="23">
        <v>31</v>
      </c>
      <c r="B42" s="43">
        <f t="shared" si="1"/>
        <v>0</v>
      </c>
      <c r="C42" s="123">
        <f t="shared" si="5"/>
        <v>0</v>
      </c>
      <c r="D42" s="43">
        <f t="shared" si="6"/>
        <v>0</v>
      </c>
      <c r="E42" s="68">
        <f t="shared" si="7"/>
        <v>0</v>
      </c>
      <c r="F42" s="51"/>
      <c r="G42" s="4195"/>
      <c r="H42" s="22" t="s">
        <v>23</v>
      </c>
      <c r="I42" s="43">
        <f>IF($B$8=12,B42,IF($B$8=4,B22,IF($B$8=6,B27,IF($B$8=3,0,IF($B$8=2,B17,0)))))</f>
        <v>0</v>
      </c>
      <c r="J42" s="43">
        <f>IF($B$8=12,C42,IF($B$8=4,C22,IF($B$8=6,C27,IF($B$8=3,0,IF($B$8=2,C17,0)))))</f>
        <v>0</v>
      </c>
      <c r="K42" s="68">
        <f>IF($B$8=12,D42,IF($B$8=4,D22,IF($B$8=6,D27,IF($B$8=3,0,IF($B$8=2,D17,0)))))</f>
        <v>0</v>
      </c>
      <c r="M42" s="4195"/>
      <c r="N42" s="9" t="s">
        <v>23</v>
      </c>
      <c r="O42" s="43">
        <f t="shared" si="11"/>
        <v>0</v>
      </c>
      <c r="P42" s="43">
        <f t="shared" si="12"/>
        <v>0</v>
      </c>
      <c r="Q42" s="44">
        <f t="shared" si="13"/>
        <v>0</v>
      </c>
    </row>
    <row r="43" spans="1:17" ht="15.75" customHeight="1">
      <c r="A43" s="23">
        <v>32</v>
      </c>
      <c r="B43" s="43">
        <f t="shared" si="1"/>
        <v>0</v>
      </c>
      <c r="C43" s="123">
        <f t="shared" si="5"/>
        <v>0</v>
      </c>
      <c r="D43" s="43">
        <f t="shared" si="6"/>
        <v>0</v>
      </c>
      <c r="E43" s="68">
        <f t="shared" si="7"/>
        <v>0</v>
      </c>
      <c r="F43" s="51"/>
      <c r="G43" s="4195"/>
      <c r="H43" s="22" t="s">
        <v>24</v>
      </c>
      <c r="I43" s="43">
        <f>IF($B$8=12,B43,IF($B$8=4,0,IF($B$8=6,0,IF($B$8=3,0,0))))</f>
        <v>0</v>
      </c>
      <c r="J43" s="43">
        <f>IF($B$8=12,C43,IF($B$8=4,0,IF($B$8=6,0,IF($B$8=3,0,0))))</f>
        <v>0</v>
      </c>
      <c r="K43" s="68">
        <f>IF($B$8=12,D43,IF($B$8=4,0,IF($B$8=6,0,IF($B$8=3,0,0))))</f>
        <v>0</v>
      </c>
      <c r="M43" s="4195"/>
      <c r="N43" s="9" t="s">
        <v>24</v>
      </c>
      <c r="O43" s="43">
        <f t="shared" si="11"/>
        <v>0</v>
      </c>
      <c r="P43" s="43">
        <f t="shared" si="12"/>
        <v>0</v>
      </c>
      <c r="Q43" s="44">
        <f t="shared" si="13"/>
        <v>0</v>
      </c>
    </row>
    <row r="44" spans="1:17" ht="15.75" customHeight="1">
      <c r="A44" s="23">
        <v>33</v>
      </c>
      <c r="B44" s="43">
        <f t="shared" ref="B44:B71" si="14">IF(A44&gt;$I$9,IF(E43&gt;1,PMT($B$6/$B$8,$B$7*$B$8,-$B$5),0),0)</f>
        <v>0</v>
      </c>
      <c r="C44" s="123">
        <f t="shared" si="5"/>
        <v>0</v>
      </c>
      <c r="D44" s="43">
        <f t="shared" si="6"/>
        <v>0</v>
      </c>
      <c r="E44" s="68">
        <f t="shared" si="7"/>
        <v>0</v>
      </c>
      <c r="F44" s="51"/>
      <c r="G44" s="4195"/>
      <c r="H44" s="22" t="s">
        <v>25</v>
      </c>
      <c r="I44" s="43">
        <f>IF($B$8=12,B44,IF($B$8=4,0,IF($B$8=6,B28,IF($B$8=3,B20,0))))</f>
        <v>0</v>
      </c>
      <c r="J44" s="43">
        <f>IF($B$8=12,C44,IF($B$8=4,0,IF($B$8=6,C28,IF($B$8=3,C20,0))))</f>
        <v>0</v>
      </c>
      <c r="K44" s="68">
        <f>IF($B$8=12,D44,IF($B$8=4,0,IF($B$8=6,D28,IF($B$8=3,D20,0))))</f>
        <v>0</v>
      </c>
      <c r="M44" s="4195"/>
      <c r="N44" s="9" t="s">
        <v>25</v>
      </c>
      <c r="O44" s="43">
        <f t="shared" si="11"/>
        <v>0</v>
      </c>
      <c r="P44" s="43">
        <f t="shared" si="12"/>
        <v>0</v>
      </c>
      <c r="Q44" s="44">
        <f t="shared" si="13"/>
        <v>0</v>
      </c>
    </row>
    <row r="45" spans="1:17" ht="15.75" customHeight="1">
      <c r="A45" s="23">
        <v>34</v>
      </c>
      <c r="B45" s="43">
        <f t="shared" si="14"/>
        <v>0</v>
      </c>
      <c r="C45" s="123">
        <f t="shared" si="5"/>
        <v>0</v>
      </c>
      <c r="D45" s="43">
        <f t="shared" ref="D45:D71" si="15">IF(A45&gt;$I$9,B45-(E44*($B$6/$B$8)),0)</f>
        <v>0</v>
      </c>
      <c r="E45" s="68">
        <f t="shared" ref="E45:E71" si="16">IF((E44-D45)&gt;0,E44-D45,0)</f>
        <v>0</v>
      </c>
      <c r="F45" s="51"/>
      <c r="G45" s="4195"/>
      <c r="H45" s="22" t="s">
        <v>26</v>
      </c>
      <c r="I45" s="43">
        <f>IF($B$8=12,B45,IF($B$8=4,B23,IF($B$8=6,0,IF($B$8=3,0,0))))</f>
        <v>0</v>
      </c>
      <c r="J45" s="43">
        <f>IF($B$8=12,C45,IF($B$8=4,C23,IF($B$8=6,0,IF($B$8=3,0,0))))</f>
        <v>0</v>
      </c>
      <c r="K45" s="68">
        <f>IF($B$8=12,D45,IF($B$8=4,D23,IF($B$8=6,0,IF($B$8=3,0,0))))</f>
        <v>0</v>
      </c>
      <c r="M45" s="4195"/>
      <c r="N45" s="9" t="s">
        <v>26</v>
      </c>
      <c r="O45" s="43">
        <f t="shared" si="11"/>
        <v>0</v>
      </c>
      <c r="P45" s="43">
        <f t="shared" si="12"/>
        <v>0</v>
      </c>
      <c r="Q45" s="44">
        <f t="shared" si="13"/>
        <v>0</v>
      </c>
    </row>
    <row r="46" spans="1:17" ht="15.75" customHeight="1">
      <c r="A46" s="23">
        <v>35</v>
      </c>
      <c r="B46" s="43">
        <f t="shared" si="14"/>
        <v>0</v>
      </c>
      <c r="C46" s="123">
        <f t="shared" si="5"/>
        <v>0</v>
      </c>
      <c r="D46" s="43">
        <f t="shared" si="15"/>
        <v>0</v>
      </c>
      <c r="E46" s="68">
        <f t="shared" si="16"/>
        <v>0</v>
      </c>
      <c r="F46" s="51"/>
      <c r="G46" s="4195"/>
      <c r="H46" s="22" t="s">
        <v>27</v>
      </c>
      <c r="I46" s="43">
        <f>IF($B$8=12,B46,IF($B$8=4,0,IF($B$8=6,B29,IF($B$8=3,0,0))))</f>
        <v>0</v>
      </c>
      <c r="J46" s="43">
        <f>IF($B$8=12,C46,IF($B$8=4,0,IF($B$8=6,C29,IF($B$8=3,0,0))))</f>
        <v>0</v>
      </c>
      <c r="K46" s="68">
        <f>IF($B$8=12,D46,IF($B$8=4,0,IF($B$8=6,D29,IF($B$8=3,0,0))))</f>
        <v>0</v>
      </c>
      <c r="M46" s="4195"/>
      <c r="N46" s="9" t="s">
        <v>27</v>
      </c>
      <c r="O46" s="43">
        <f t="shared" si="11"/>
        <v>0</v>
      </c>
      <c r="P46" s="43">
        <f t="shared" si="12"/>
        <v>0</v>
      </c>
      <c r="Q46" s="44">
        <f t="shared" si="13"/>
        <v>0</v>
      </c>
    </row>
    <row r="47" spans="1:17" ht="15.75" customHeight="1" thickBot="1">
      <c r="A47" s="24">
        <v>36</v>
      </c>
      <c r="B47" s="70">
        <f t="shared" si="14"/>
        <v>0</v>
      </c>
      <c r="C47" s="139">
        <f t="shared" si="5"/>
        <v>0</v>
      </c>
      <c r="D47" s="70">
        <f t="shared" si="15"/>
        <v>0</v>
      </c>
      <c r="E47" s="75">
        <f t="shared" si="16"/>
        <v>0</v>
      </c>
      <c r="F47" s="243">
        <f>SUM(D36:D47)</f>
        <v>0</v>
      </c>
      <c r="G47" s="4196"/>
      <c r="H47" s="25" t="s">
        <v>28</v>
      </c>
      <c r="I47" s="70">
        <f>IF($B$8=12,B47,IF($B$8=4,0,IF($B$8=6,0,IF($B$8=3,0,0))))</f>
        <v>0</v>
      </c>
      <c r="J47" s="70">
        <f>IF($B$8=12,C47,IF($B$8=4,0,IF($B$8=6,0,IF($B$8=3,0,0))))</f>
        <v>0</v>
      </c>
      <c r="K47" s="72">
        <f>IF($B$8=12,D47,IF($B$8=4,0,IF($B$8=6,0,IF($B$8=3,0,0))))</f>
        <v>0</v>
      </c>
      <c r="M47" s="4196"/>
      <c r="N47" s="35" t="s">
        <v>28</v>
      </c>
      <c r="O47" s="45">
        <f t="shared" si="11"/>
        <v>0</v>
      </c>
      <c r="P47" s="45">
        <f t="shared" si="12"/>
        <v>0</v>
      </c>
      <c r="Q47" s="46">
        <f t="shared" si="13"/>
        <v>0</v>
      </c>
    </row>
    <row r="48" spans="1:17" ht="15.75" customHeight="1">
      <c r="A48" s="23">
        <v>37</v>
      </c>
      <c r="B48" s="43">
        <f t="shared" si="14"/>
        <v>0</v>
      </c>
      <c r="C48" s="123">
        <f t="shared" si="5"/>
        <v>0</v>
      </c>
      <c r="D48" s="43">
        <f t="shared" si="15"/>
        <v>0</v>
      </c>
      <c r="E48" s="68">
        <f t="shared" si="16"/>
        <v>0</v>
      </c>
      <c r="F48" s="51"/>
      <c r="G48" s="4194">
        <f>G36+1</f>
        <v>3</v>
      </c>
      <c r="H48" s="22" t="s">
        <v>17</v>
      </c>
      <c r="I48" s="43">
        <f>IF($B$8=12,B48,IF($B$8=4,B24,IF($B$8=6,B30,IF($B$8=3,B21,IF($B$8=2,B18,IF($B$8=1,B15,0))))))</f>
        <v>0</v>
      </c>
      <c r="J48" s="43">
        <f>IF($B$8=12,C48,IF($B$8=4,C24,IF($B$8=6,C30,IF($B$8=3,C21,IF($B$8=2,C18,IF($B$8=1,C15,0))))))</f>
        <v>0</v>
      </c>
      <c r="K48" s="68">
        <f>IF($B$8=12,D48,IF($B$8=4,D24,IF($B$8=6,D30,IF($B$8=3,D21,IF($B$8=2,D18,IF($B$8=1,D15,0))))))</f>
        <v>0</v>
      </c>
      <c r="M48" s="4194">
        <f>M12+3</f>
        <v>3</v>
      </c>
      <c r="N48" s="9" t="s">
        <v>17</v>
      </c>
      <c r="O48" s="76">
        <f t="shared" ref="O48:O59" si="17">IF($I$6=4,I12,IF($I$6=3,I24,IF($I$6=2,I36,IF($I$6=1,I48,0))))</f>
        <v>0</v>
      </c>
      <c r="P48" s="76">
        <f t="shared" ref="P48:P59" si="18">IF($I$6=4,J12,IF($I$6=3,J24,IF($I$6=2,J36,IF($I$6=1,J48,0))))</f>
        <v>0</v>
      </c>
      <c r="Q48" s="77">
        <f t="shared" ref="Q48:Q59" si="19">IF($I$6=4,K12,IF($I$6=3,K24,IF($I$6=2,K36,IF($I$6=1,K48,0))))</f>
        <v>0</v>
      </c>
    </row>
    <row r="49" spans="1:17" ht="15.75" customHeight="1">
      <c r="A49" s="23">
        <v>38</v>
      </c>
      <c r="B49" s="43">
        <f t="shared" si="14"/>
        <v>0</v>
      </c>
      <c r="C49" s="123">
        <f t="shared" si="5"/>
        <v>0</v>
      </c>
      <c r="D49" s="43">
        <f t="shared" si="15"/>
        <v>0</v>
      </c>
      <c r="E49" s="68">
        <f t="shared" si="16"/>
        <v>0</v>
      </c>
      <c r="F49" s="51"/>
      <c r="G49" s="4195"/>
      <c r="H49" s="22" t="s">
        <v>18</v>
      </c>
      <c r="I49" s="43">
        <f>IF($B$8=12,B49,0)</f>
        <v>0</v>
      </c>
      <c r="J49" s="43">
        <f>IF($B$8=12,C49,0)</f>
        <v>0</v>
      </c>
      <c r="K49" s="68">
        <f>IF($B$8=12,D49,0)</f>
        <v>0</v>
      </c>
      <c r="M49" s="4195"/>
      <c r="N49" s="9" t="s">
        <v>18</v>
      </c>
      <c r="O49" s="43">
        <f t="shared" si="17"/>
        <v>0</v>
      </c>
      <c r="P49" s="43">
        <f t="shared" si="18"/>
        <v>0</v>
      </c>
      <c r="Q49" s="44">
        <f t="shared" si="19"/>
        <v>0</v>
      </c>
    </row>
    <row r="50" spans="1:17" ht="15.75" customHeight="1">
      <c r="A50" s="23">
        <v>39</v>
      </c>
      <c r="B50" s="43">
        <f t="shared" si="14"/>
        <v>0</v>
      </c>
      <c r="C50" s="123">
        <f t="shared" si="5"/>
        <v>0</v>
      </c>
      <c r="D50" s="43">
        <f t="shared" si="15"/>
        <v>0</v>
      </c>
      <c r="E50" s="68">
        <f t="shared" si="16"/>
        <v>0</v>
      </c>
      <c r="F50" s="51"/>
      <c r="G50" s="4195"/>
      <c r="H50" s="22" t="s">
        <v>19</v>
      </c>
      <c r="I50" s="43">
        <f>IF($B$8=12,B50,IF($B$8=6,B31,0))</f>
        <v>0</v>
      </c>
      <c r="J50" s="43">
        <f>IF($B$8=12,C50,IF($B$8=6,C31,0))</f>
        <v>0</v>
      </c>
      <c r="K50" s="68">
        <f>IF($B$8=12,D50,IF($B$8=6,D31,0))</f>
        <v>0</v>
      </c>
      <c r="M50" s="4195"/>
      <c r="N50" s="9" t="s">
        <v>19</v>
      </c>
      <c r="O50" s="43">
        <f t="shared" si="17"/>
        <v>0</v>
      </c>
      <c r="P50" s="43">
        <f t="shared" si="18"/>
        <v>0</v>
      </c>
      <c r="Q50" s="44">
        <f t="shared" si="19"/>
        <v>0</v>
      </c>
    </row>
    <row r="51" spans="1:17" ht="15.75" customHeight="1">
      <c r="A51" s="23">
        <v>40</v>
      </c>
      <c r="B51" s="43">
        <f t="shared" si="14"/>
        <v>0</v>
      </c>
      <c r="C51" s="123">
        <f t="shared" si="5"/>
        <v>0</v>
      </c>
      <c r="D51" s="43">
        <f t="shared" si="15"/>
        <v>0</v>
      </c>
      <c r="E51" s="68">
        <f t="shared" si="16"/>
        <v>0</v>
      </c>
      <c r="F51" s="51"/>
      <c r="G51" s="4195"/>
      <c r="H51" s="22" t="s">
        <v>20</v>
      </c>
      <c r="I51" s="43">
        <f>IF($B$8=12,B51,IF($B$8=4,B25,IF($B$8=6,0,IF($B$8=3,0,0))))</f>
        <v>0</v>
      </c>
      <c r="J51" s="43">
        <f>IF($B$8=12,C51,IF($B$8=4,C25,IF($B$8=6,0,IF($B$8=3,0,0))))</f>
        <v>0</v>
      </c>
      <c r="K51" s="68">
        <f>IF($B$8=12,D51,IF($B$8=4,D25,IF($B$8=6,0,IF($B$8=3,0,0))))</f>
        <v>0</v>
      </c>
      <c r="M51" s="4195"/>
      <c r="N51" s="9" t="s">
        <v>20</v>
      </c>
      <c r="O51" s="43">
        <f t="shared" si="17"/>
        <v>0</v>
      </c>
      <c r="P51" s="43">
        <f t="shared" si="18"/>
        <v>0</v>
      </c>
      <c r="Q51" s="44">
        <f t="shared" si="19"/>
        <v>0</v>
      </c>
    </row>
    <row r="52" spans="1:17" ht="15.75" customHeight="1">
      <c r="A52" s="23">
        <v>41</v>
      </c>
      <c r="B52" s="43">
        <f t="shared" si="14"/>
        <v>0</v>
      </c>
      <c r="C52" s="123">
        <f t="shared" si="5"/>
        <v>0</v>
      </c>
      <c r="D52" s="43">
        <f t="shared" si="15"/>
        <v>0</v>
      </c>
      <c r="E52" s="68">
        <f t="shared" si="16"/>
        <v>0</v>
      </c>
      <c r="F52" s="51"/>
      <c r="G52" s="4195"/>
      <c r="H52" s="22" t="s">
        <v>21</v>
      </c>
      <c r="I52" s="43">
        <f>IF($B$8=12,B52,IF($B$8=4,0,IF($B$8=6,B32,IF($B$8=3,B22,0))))</f>
        <v>0</v>
      </c>
      <c r="J52" s="43">
        <f>IF($B$8=12,C52,IF($B$8=4,0,IF($B$8=6,C32,IF($B$8=3,C22,0))))</f>
        <v>0</v>
      </c>
      <c r="K52" s="68">
        <f>IF($B$8=12,D52,IF($B$8=4,0,IF($B$8=6,D32,IF($B$8=3,D22,0))))</f>
        <v>0</v>
      </c>
      <c r="M52" s="4195"/>
      <c r="N52" s="9" t="s">
        <v>21</v>
      </c>
      <c r="O52" s="43">
        <f t="shared" si="17"/>
        <v>0</v>
      </c>
      <c r="P52" s="43">
        <f t="shared" si="18"/>
        <v>0</v>
      </c>
      <c r="Q52" s="44">
        <f t="shared" si="19"/>
        <v>0</v>
      </c>
    </row>
    <row r="53" spans="1:17" ht="15.75" customHeight="1">
      <c r="A53" s="23">
        <v>42</v>
      </c>
      <c r="B53" s="43">
        <f t="shared" si="14"/>
        <v>0</v>
      </c>
      <c r="C53" s="123">
        <f t="shared" si="5"/>
        <v>0</v>
      </c>
      <c r="D53" s="43">
        <f t="shared" si="15"/>
        <v>0</v>
      </c>
      <c r="E53" s="68">
        <f t="shared" si="16"/>
        <v>0</v>
      </c>
      <c r="F53" s="51"/>
      <c r="G53" s="4195"/>
      <c r="H53" s="22" t="s">
        <v>22</v>
      </c>
      <c r="I53" s="43">
        <f>IF($B$8=12,B53,IF($B$8=4,0,IF($B$8=6,0,IF($B$8=3,0,0))))</f>
        <v>0</v>
      </c>
      <c r="J53" s="43">
        <f>IF($B$8=12,C53,IF($B$8=4,0,IF($B$8=6,0,IF($B$8=3,0,0))))</f>
        <v>0</v>
      </c>
      <c r="K53" s="68">
        <f>IF($B$8=12,D53,IF($B$8=4,0,IF($B$8=6,0,IF($B$8=3,0,0))))</f>
        <v>0</v>
      </c>
      <c r="M53" s="4195"/>
      <c r="N53" s="9" t="s">
        <v>22</v>
      </c>
      <c r="O53" s="43">
        <f t="shared" si="17"/>
        <v>0</v>
      </c>
      <c r="P53" s="43">
        <f t="shared" si="18"/>
        <v>0</v>
      </c>
      <c r="Q53" s="44">
        <f t="shared" si="19"/>
        <v>0</v>
      </c>
    </row>
    <row r="54" spans="1:17" ht="15.75" customHeight="1">
      <c r="A54" s="23">
        <v>43</v>
      </c>
      <c r="B54" s="43">
        <f t="shared" si="14"/>
        <v>0</v>
      </c>
      <c r="C54" s="123">
        <f t="shared" si="5"/>
        <v>0</v>
      </c>
      <c r="D54" s="43">
        <f t="shared" si="15"/>
        <v>0</v>
      </c>
      <c r="E54" s="68">
        <f t="shared" si="16"/>
        <v>0</v>
      </c>
      <c r="F54" s="51"/>
      <c r="G54" s="4195"/>
      <c r="H54" s="22" t="s">
        <v>23</v>
      </c>
      <c r="I54" s="43">
        <f>IF($B$8=12,B54,IF($B$8=4,B26,IF($B$8=6,B33,IF($B$8=3,0,IF($B$8=2,B19,0)))))</f>
        <v>0</v>
      </c>
      <c r="J54" s="43">
        <f>IF($B$8=12,C54,IF($B$8=4,C26,IF($B$8=6,C33,IF($B$8=3,0,IF($B$8=2,C19,0)))))</f>
        <v>0</v>
      </c>
      <c r="K54" s="68">
        <f>IF($B$8=12,D54,IF($B$8=4,D26,IF($B$8=6,D33,IF($B$8=3,0,IF($B$8=2,D19,0)))))</f>
        <v>0</v>
      </c>
      <c r="M54" s="4195"/>
      <c r="N54" s="9" t="s">
        <v>23</v>
      </c>
      <c r="O54" s="43">
        <f t="shared" si="17"/>
        <v>0</v>
      </c>
      <c r="P54" s="43">
        <f t="shared" si="18"/>
        <v>0</v>
      </c>
      <c r="Q54" s="44">
        <f t="shared" si="19"/>
        <v>0</v>
      </c>
    </row>
    <row r="55" spans="1:17" ht="15.75" customHeight="1">
      <c r="A55" s="23">
        <v>44</v>
      </c>
      <c r="B55" s="43">
        <f t="shared" si="14"/>
        <v>0</v>
      </c>
      <c r="C55" s="123">
        <f t="shared" si="5"/>
        <v>0</v>
      </c>
      <c r="D55" s="43">
        <f t="shared" si="15"/>
        <v>0</v>
      </c>
      <c r="E55" s="68">
        <f t="shared" si="16"/>
        <v>0</v>
      </c>
      <c r="F55" s="51"/>
      <c r="G55" s="4195"/>
      <c r="H55" s="22" t="s">
        <v>24</v>
      </c>
      <c r="I55" s="43">
        <f>IF($B$8=12,B55,IF($B$8=4,0,IF($B$8=6,0,IF($B$8=3,0,0))))</f>
        <v>0</v>
      </c>
      <c r="J55" s="43">
        <f>IF($B$8=12,C55,IF($B$8=4,0,IF($B$8=6,0,IF($B$8=3,0,0))))</f>
        <v>0</v>
      </c>
      <c r="K55" s="68">
        <f>IF($B$8=12,D55,IF($B$8=4,0,IF($B$8=6,0,IF($B$8=3,0,0))))</f>
        <v>0</v>
      </c>
      <c r="M55" s="4195"/>
      <c r="N55" s="9" t="s">
        <v>24</v>
      </c>
      <c r="O55" s="43">
        <f t="shared" si="17"/>
        <v>0</v>
      </c>
      <c r="P55" s="43">
        <f t="shared" si="18"/>
        <v>0</v>
      </c>
      <c r="Q55" s="44">
        <f t="shared" si="19"/>
        <v>0</v>
      </c>
    </row>
    <row r="56" spans="1:17" ht="15.75" customHeight="1">
      <c r="A56" s="23">
        <v>45</v>
      </c>
      <c r="B56" s="43">
        <f t="shared" si="14"/>
        <v>0</v>
      </c>
      <c r="C56" s="123">
        <f t="shared" si="5"/>
        <v>0</v>
      </c>
      <c r="D56" s="43">
        <f t="shared" si="15"/>
        <v>0</v>
      </c>
      <c r="E56" s="68">
        <f t="shared" si="16"/>
        <v>0</v>
      </c>
      <c r="F56" s="51"/>
      <c r="G56" s="4195"/>
      <c r="H56" s="22" t="s">
        <v>25</v>
      </c>
      <c r="I56" s="43">
        <f>IF($B$8=12,B56,IF($B$8=4,0,IF($B$8=6,B34,IF($B$8=3,B23,0))))</f>
        <v>0</v>
      </c>
      <c r="J56" s="43">
        <f>IF($B$8=12,C56,IF($B$8=4,0,IF($B$8=6,C34,IF($B$8=3,C23,0))))</f>
        <v>0</v>
      </c>
      <c r="K56" s="68">
        <f>IF($B$8=12,D56,IF($B$8=4,0,IF($B$8=6,D34,IF($B$8=3,D23,0))))</f>
        <v>0</v>
      </c>
      <c r="M56" s="4195"/>
      <c r="N56" s="9" t="s">
        <v>25</v>
      </c>
      <c r="O56" s="43">
        <f t="shared" si="17"/>
        <v>0</v>
      </c>
      <c r="P56" s="43">
        <f t="shared" si="18"/>
        <v>0</v>
      </c>
      <c r="Q56" s="44">
        <f t="shared" si="19"/>
        <v>0</v>
      </c>
    </row>
    <row r="57" spans="1:17" ht="15.75" customHeight="1">
      <c r="A57" s="23">
        <v>46</v>
      </c>
      <c r="B57" s="43">
        <f t="shared" si="14"/>
        <v>0</v>
      </c>
      <c r="C57" s="123">
        <f t="shared" si="5"/>
        <v>0</v>
      </c>
      <c r="D57" s="43">
        <f t="shared" si="15"/>
        <v>0</v>
      </c>
      <c r="E57" s="68">
        <f t="shared" si="16"/>
        <v>0</v>
      </c>
      <c r="F57" s="51"/>
      <c r="G57" s="4195"/>
      <c r="H57" s="22" t="s">
        <v>26</v>
      </c>
      <c r="I57" s="43">
        <f>IF($B$8=12,B57,IF($B$8=4,B27,IF($B$8=6,0,IF($B$8=3,0,0))))</f>
        <v>0</v>
      </c>
      <c r="J57" s="43">
        <f>IF($B$8=12,C57,IF($B$8=4,C27,IF($B$8=6,0,IF($B$8=3,0,0))))</f>
        <v>0</v>
      </c>
      <c r="K57" s="68">
        <f>IF($B$8=12,D57,IF($B$8=4,D27,IF($B$8=6,0,IF($B$8=3,0,0))))</f>
        <v>0</v>
      </c>
      <c r="M57" s="4195"/>
      <c r="N57" s="9" t="s">
        <v>26</v>
      </c>
      <c r="O57" s="43">
        <f t="shared" si="17"/>
        <v>0</v>
      </c>
      <c r="P57" s="43">
        <f t="shared" si="18"/>
        <v>0</v>
      </c>
      <c r="Q57" s="44">
        <f t="shared" si="19"/>
        <v>0</v>
      </c>
    </row>
    <row r="58" spans="1:17" ht="15.75" customHeight="1">
      <c r="A58" s="23">
        <v>47</v>
      </c>
      <c r="B58" s="43">
        <f t="shared" si="14"/>
        <v>0</v>
      </c>
      <c r="C58" s="123">
        <f t="shared" si="5"/>
        <v>0</v>
      </c>
      <c r="D58" s="43">
        <f t="shared" si="15"/>
        <v>0</v>
      </c>
      <c r="E58" s="68">
        <f t="shared" si="16"/>
        <v>0</v>
      </c>
      <c r="F58" s="51"/>
      <c r="G58" s="4195"/>
      <c r="H58" s="22" t="s">
        <v>27</v>
      </c>
      <c r="I58" s="43">
        <f>IF($B$8=12,B58,IF($B$8=4,0,IF($B$8=6,B35,IF($B$8=3,0,0))))</f>
        <v>0</v>
      </c>
      <c r="J58" s="43">
        <f>IF($B$8=12,C58,IF($B$8=4,0,IF($B$8=6,C35,IF($B$8=3,0,0))))</f>
        <v>0</v>
      </c>
      <c r="K58" s="68">
        <f>IF($B$8=12,D58,IF($B$8=4,0,IF($B$8=6,D35,IF($B$8=3,0,0))))</f>
        <v>0</v>
      </c>
      <c r="M58" s="4195"/>
      <c r="N58" s="9" t="s">
        <v>27</v>
      </c>
      <c r="O58" s="43">
        <f t="shared" si="17"/>
        <v>0</v>
      </c>
      <c r="P58" s="43">
        <f t="shared" si="18"/>
        <v>0</v>
      </c>
      <c r="Q58" s="44">
        <f t="shared" si="19"/>
        <v>0</v>
      </c>
    </row>
    <row r="59" spans="1:17" ht="15.75" customHeight="1" thickBot="1">
      <c r="A59" s="24">
        <v>48</v>
      </c>
      <c r="B59" s="70">
        <f t="shared" si="14"/>
        <v>0</v>
      </c>
      <c r="C59" s="139">
        <f t="shared" si="5"/>
        <v>0</v>
      </c>
      <c r="D59" s="70">
        <f t="shared" si="15"/>
        <v>0</v>
      </c>
      <c r="E59" s="75">
        <f t="shared" si="16"/>
        <v>0</v>
      </c>
      <c r="F59" s="243">
        <f>SUM(D48:D59)</f>
        <v>0</v>
      </c>
      <c r="G59" s="4196"/>
      <c r="H59" s="25" t="s">
        <v>28</v>
      </c>
      <c r="I59" s="70">
        <f>IF($B$8=12,B59,IF($B$8=4,0,IF($B$8=6,0,IF($B$8=3,0,0))))</f>
        <v>0</v>
      </c>
      <c r="J59" s="70">
        <f>IF($B$8=12,C59,IF($B$8=4,0,IF($B$8=6,0,IF($B$8=3,0,0))))</f>
        <v>0</v>
      </c>
      <c r="K59" s="72">
        <f>IF($B$8=12,D59,IF($B$8=4,0,IF($B$8=6,0,IF($B$8=3,0,0))))</f>
        <v>0</v>
      </c>
      <c r="M59" s="4196"/>
      <c r="N59" s="35" t="s">
        <v>28</v>
      </c>
      <c r="O59" s="45">
        <f t="shared" si="17"/>
        <v>0</v>
      </c>
      <c r="P59" s="45">
        <f t="shared" si="18"/>
        <v>0</v>
      </c>
      <c r="Q59" s="46">
        <f t="shared" si="19"/>
        <v>0</v>
      </c>
    </row>
    <row r="60" spans="1:17" ht="15.75" customHeight="1">
      <c r="A60" s="23">
        <v>49</v>
      </c>
      <c r="B60" s="43">
        <f t="shared" si="14"/>
        <v>0</v>
      </c>
      <c r="C60" s="123">
        <f t="shared" si="5"/>
        <v>0</v>
      </c>
      <c r="D60" s="43">
        <f t="shared" si="15"/>
        <v>0</v>
      </c>
      <c r="E60" s="68">
        <f t="shared" si="16"/>
        <v>0</v>
      </c>
      <c r="F60" s="51"/>
      <c r="G60" s="4194">
        <f>G48+1</f>
        <v>4</v>
      </c>
      <c r="H60" s="22" t="s">
        <v>17</v>
      </c>
      <c r="I60" s="43">
        <f>IF($B$8=12,B60,IF($B$8=4,B28,IF($B$8=6,B36,IF($B$8=3,B24,IF($B$8=2,B20,IF($B$8=1,B16,0))))))</f>
        <v>0</v>
      </c>
      <c r="J60" s="43">
        <f>IF($B$8=12,C60,IF($B$8=4,C28,IF($B$8=6,C36,IF($B$8=3,C24,IF($B$8=2,C20,IF($B$8=1,C16,0))))))</f>
        <v>0</v>
      </c>
      <c r="K60" s="68">
        <f>IF($B$8=12,D60,IF($B$8=4,D28,IF($B$8=6,D36,IF($B$8=3,D24,IF($B$8=2,D20,IF($B$8=1,D16,0))))))</f>
        <v>0</v>
      </c>
      <c r="M60" s="4194">
        <f>M12+4</f>
        <v>4</v>
      </c>
      <c r="N60" s="9" t="s">
        <v>17</v>
      </c>
      <c r="O60" s="76">
        <f t="shared" ref="O60:O71" si="20">IF($I$6=5,I12,IF($I$6=4,I24,IF($I$6=3,I36,IF($I$6=2,I48,IF($I$6=1,I60,0)))))</f>
        <v>0</v>
      </c>
      <c r="P60" s="76">
        <f t="shared" ref="P60:P71" si="21">IF($I$6=5,J12,IF($I$6=4,J24,IF($I$6=3,J36,IF($I$6=2,J48,IF($I$6=1,J60,0)))))</f>
        <v>0</v>
      </c>
      <c r="Q60" s="77">
        <f t="shared" ref="Q60:Q71" si="22">IF($I$6=5,K12,IF($I$6=4,K24,IF($I$6=3,K36,IF($I$6=2,K48,IF($I$6=1,K60,0)))))</f>
        <v>0</v>
      </c>
    </row>
    <row r="61" spans="1:17" ht="15.75" customHeight="1">
      <c r="A61" s="23">
        <v>50</v>
      </c>
      <c r="B61" s="43">
        <f t="shared" si="14"/>
        <v>0</v>
      </c>
      <c r="C61" s="123">
        <f t="shared" si="5"/>
        <v>0</v>
      </c>
      <c r="D61" s="43">
        <f t="shared" si="15"/>
        <v>0</v>
      </c>
      <c r="E61" s="68">
        <f t="shared" si="16"/>
        <v>0</v>
      </c>
      <c r="F61" s="51"/>
      <c r="G61" s="4195"/>
      <c r="H61" s="22" t="s">
        <v>18</v>
      </c>
      <c r="I61" s="43">
        <f>IF($B$8=12,B61,0)</f>
        <v>0</v>
      </c>
      <c r="J61" s="43">
        <f>IF($B$8=12,C61,0)</f>
        <v>0</v>
      </c>
      <c r="K61" s="68">
        <f>IF($B$8=12,D61,0)</f>
        <v>0</v>
      </c>
      <c r="M61" s="4195"/>
      <c r="N61" s="9" t="s">
        <v>18</v>
      </c>
      <c r="O61" s="43">
        <f t="shared" si="20"/>
        <v>0</v>
      </c>
      <c r="P61" s="43">
        <f t="shared" si="21"/>
        <v>0</v>
      </c>
      <c r="Q61" s="44">
        <f t="shared" si="22"/>
        <v>0</v>
      </c>
    </row>
    <row r="62" spans="1:17" ht="15.75" customHeight="1">
      <c r="A62" s="23">
        <v>51</v>
      </c>
      <c r="B62" s="43">
        <f t="shared" si="14"/>
        <v>0</v>
      </c>
      <c r="C62" s="123">
        <f t="shared" si="5"/>
        <v>0</v>
      </c>
      <c r="D62" s="43">
        <f t="shared" si="15"/>
        <v>0</v>
      </c>
      <c r="E62" s="68">
        <f t="shared" si="16"/>
        <v>0</v>
      </c>
      <c r="F62" s="51"/>
      <c r="G62" s="4195"/>
      <c r="H62" s="22" t="s">
        <v>19</v>
      </c>
      <c r="I62" s="43">
        <f>IF($B$8=12,B62,IF($B$8=6,B37,0))</f>
        <v>0</v>
      </c>
      <c r="J62" s="43">
        <f>IF($B$8=12,C62,IF($B$8=6,C37,0))</f>
        <v>0</v>
      </c>
      <c r="K62" s="68">
        <f>IF($B$8=12,D62,IF($B$8=6,D37,0))</f>
        <v>0</v>
      </c>
      <c r="M62" s="4195"/>
      <c r="N62" s="9" t="s">
        <v>19</v>
      </c>
      <c r="O62" s="43">
        <f t="shared" si="20"/>
        <v>0</v>
      </c>
      <c r="P62" s="43">
        <f t="shared" si="21"/>
        <v>0</v>
      </c>
      <c r="Q62" s="44">
        <f t="shared" si="22"/>
        <v>0</v>
      </c>
    </row>
    <row r="63" spans="1:17" ht="15.75" customHeight="1">
      <c r="A63" s="23">
        <v>52</v>
      </c>
      <c r="B63" s="43">
        <f t="shared" si="14"/>
        <v>0</v>
      </c>
      <c r="C63" s="123">
        <f t="shared" si="5"/>
        <v>0</v>
      </c>
      <c r="D63" s="43">
        <f t="shared" si="15"/>
        <v>0</v>
      </c>
      <c r="E63" s="68">
        <f t="shared" si="16"/>
        <v>0</v>
      </c>
      <c r="F63" s="51"/>
      <c r="G63" s="4195"/>
      <c r="H63" s="22" t="s">
        <v>20</v>
      </c>
      <c r="I63" s="43">
        <f>IF($B$8=12,B63,IF($B$8=4,B29,IF($B$8=6,0,IF($B$8=3,0,0))))</f>
        <v>0</v>
      </c>
      <c r="J63" s="43">
        <f>IF($B$8=12,C63,IF($B$8=4,C29,IF($B$8=6,0,IF($B$8=3,0,0))))</f>
        <v>0</v>
      </c>
      <c r="K63" s="68">
        <f>IF($B$8=12,D63,IF($B$8=4,D29,IF($B$8=6,0,IF($B$8=3,0,0))))</f>
        <v>0</v>
      </c>
      <c r="M63" s="4195"/>
      <c r="N63" s="9" t="s">
        <v>20</v>
      </c>
      <c r="O63" s="43">
        <f t="shared" si="20"/>
        <v>0</v>
      </c>
      <c r="P63" s="43">
        <f t="shared" si="21"/>
        <v>0</v>
      </c>
      <c r="Q63" s="44">
        <f t="shared" si="22"/>
        <v>0</v>
      </c>
    </row>
    <row r="64" spans="1:17" ht="15.75" customHeight="1">
      <c r="A64" s="23">
        <v>53</v>
      </c>
      <c r="B64" s="43">
        <f t="shared" si="14"/>
        <v>0</v>
      </c>
      <c r="C64" s="123">
        <f t="shared" si="5"/>
        <v>0</v>
      </c>
      <c r="D64" s="43">
        <f t="shared" si="15"/>
        <v>0</v>
      </c>
      <c r="E64" s="68">
        <f t="shared" si="16"/>
        <v>0</v>
      </c>
      <c r="F64" s="51"/>
      <c r="G64" s="4195"/>
      <c r="H64" s="22" t="s">
        <v>21</v>
      </c>
      <c r="I64" s="43">
        <f>IF($B$8=12,B64,IF($B$8=4,0,IF($B$8=6,B38,IF($B$8=3,B25,0))))</f>
        <v>0</v>
      </c>
      <c r="J64" s="43">
        <f>IF($B$8=12,C64,IF($B$8=4,0,IF($B$8=6,C38,IF($B$8=3,C25,0))))</f>
        <v>0</v>
      </c>
      <c r="K64" s="68">
        <f>IF($B$8=12,D64,IF($B$8=4,0,IF($B$8=6,D38,IF($B$8=3,D25,0))))</f>
        <v>0</v>
      </c>
      <c r="M64" s="4195"/>
      <c r="N64" s="9" t="s">
        <v>21</v>
      </c>
      <c r="O64" s="43">
        <f t="shared" si="20"/>
        <v>0</v>
      </c>
      <c r="P64" s="43">
        <f t="shared" si="21"/>
        <v>0</v>
      </c>
      <c r="Q64" s="44">
        <f t="shared" si="22"/>
        <v>0</v>
      </c>
    </row>
    <row r="65" spans="1:17" ht="15.75" customHeight="1">
      <c r="A65" s="23">
        <v>54</v>
      </c>
      <c r="B65" s="43">
        <f t="shared" si="14"/>
        <v>0</v>
      </c>
      <c r="C65" s="123">
        <f t="shared" si="5"/>
        <v>0</v>
      </c>
      <c r="D65" s="43">
        <f t="shared" si="15"/>
        <v>0</v>
      </c>
      <c r="E65" s="68">
        <f t="shared" si="16"/>
        <v>0</v>
      </c>
      <c r="F65" s="51"/>
      <c r="G65" s="4195"/>
      <c r="H65" s="22" t="s">
        <v>22</v>
      </c>
      <c r="I65" s="43">
        <f>IF($B$8=12,B65,IF($B$8=4,0,IF($B$8=6,0,IF($B$8=3,0,0))))</f>
        <v>0</v>
      </c>
      <c r="J65" s="43">
        <f>IF($B$8=12,C65,IF($B$8=4,0,IF($B$8=6,0,IF($B$8=3,0,0))))</f>
        <v>0</v>
      </c>
      <c r="K65" s="68">
        <f>IF($B$8=12,D65,IF($B$8=4,0,IF($B$8=6,0,IF($B$8=3,0,0))))</f>
        <v>0</v>
      </c>
      <c r="M65" s="4195"/>
      <c r="N65" s="9" t="s">
        <v>22</v>
      </c>
      <c r="O65" s="43">
        <f t="shared" si="20"/>
        <v>0</v>
      </c>
      <c r="P65" s="43">
        <f t="shared" si="21"/>
        <v>0</v>
      </c>
      <c r="Q65" s="44">
        <f t="shared" si="22"/>
        <v>0</v>
      </c>
    </row>
    <row r="66" spans="1:17" ht="15.75" customHeight="1">
      <c r="A66" s="23">
        <v>55</v>
      </c>
      <c r="B66" s="43">
        <f t="shared" si="14"/>
        <v>0</v>
      </c>
      <c r="C66" s="123">
        <f t="shared" si="5"/>
        <v>0</v>
      </c>
      <c r="D66" s="43">
        <f t="shared" si="15"/>
        <v>0</v>
      </c>
      <c r="E66" s="68">
        <f t="shared" si="16"/>
        <v>0</v>
      </c>
      <c r="F66" s="51"/>
      <c r="G66" s="4195"/>
      <c r="H66" s="22" t="s">
        <v>23</v>
      </c>
      <c r="I66" s="43">
        <f>IF($B$8=12,B66,IF($B$8=4,B30,IF($B$8=6,B39,IF($B$8=3,0,IF($B$8=2,B21,0)))))</f>
        <v>0</v>
      </c>
      <c r="J66" s="43">
        <f>IF($B$8=12,C66,IF($B$8=4,C30,IF($B$8=6,C39,IF($B$8=3,0,IF($B$8=2,C21,0)))))</f>
        <v>0</v>
      </c>
      <c r="K66" s="68">
        <f>IF($B$8=12,D66,IF($B$8=4,D30,IF($B$8=6,D39,IF($B$8=3,0,IF($B$8=2,D21,0)))))</f>
        <v>0</v>
      </c>
      <c r="M66" s="4195"/>
      <c r="N66" s="9" t="s">
        <v>23</v>
      </c>
      <c r="O66" s="43">
        <f t="shared" si="20"/>
        <v>0</v>
      </c>
      <c r="P66" s="43">
        <f t="shared" si="21"/>
        <v>0</v>
      </c>
      <c r="Q66" s="44">
        <f t="shared" si="22"/>
        <v>0</v>
      </c>
    </row>
    <row r="67" spans="1:17" ht="15.75" customHeight="1">
      <c r="A67" s="23">
        <v>56</v>
      </c>
      <c r="B67" s="43">
        <f t="shared" si="14"/>
        <v>0</v>
      </c>
      <c r="C67" s="123">
        <f t="shared" si="5"/>
        <v>0</v>
      </c>
      <c r="D67" s="43">
        <f t="shared" si="15"/>
        <v>0</v>
      </c>
      <c r="E67" s="68">
        <f t="shared" si="16"/>
        <v>0</v>
      </c>
      <c r="F67" s="51"/>
      <c r="G67" s="4195"/>
      <c r="H67" s="22" t="s">
        <v>24</v>
      </c>
      <c r="I67" s="43">
        <f>IF($B$8=12,B67,IF($B$8=4,0,IF($B$8=6,0,IF($B$8=3,0,0))))</f>
        <v>0</v>
      </c>
      <c r="J67" s="43">
        <f>IF($B$8=12,C67,IF($B$8=4,0,IF($B$8=6,0,IF($B$8=3,0,0))))</f>
        <v>0</v>
      </c>
      <c r="K67" s="68">
        <f>IF($B$8=12,D67,IF($B$8=4,0,IF($B$8=6,0,IF($B$8=3,0,0))))</f>
        <v>0</v>
      </c>
      <c r="M67" s="4195"/>
      <c r="N67" s="9" t="s">
        <v>24</v>
      </c>
      <c r="O67" s="43">
        <f t="shared" si="20"/>
        <v>0</v>
      </c>
      <c r="P67" s="43">
        <f t="shared" si="21"/>
        <v>0</v>
      </c>
      <c r="Q67" s="44">
        <f t="shared" si="22"/>
        <v>0</v>
      </c>
    </row>
    <row r="68" spans="1:17" ht="15.75" customHeight="1">
      <c r="A68" s="23">
        <v>57</v>
      </c>
      <c r="B68" s="43">
        <f t="shared" si="14"/>
        <v>0</v>
      </c>
      <c r="C68" s="123">
        <f t="shared" si="5"/>
        <v>0</v>
      </c>
      <c r="D68" s="43">
        <f t="shared" si="15"/>
        <v>0</v>
      </c>
      <c r="E68" s="68">
        <f t="shared" si="16"/>
        <v>0</v>
      </c>
      <c r="F68" s="51"/>
      <c r="G68" s="4195"/>
      <c r="H68" s="22" t="s">
        <v>25</v>
      </c>
      <c r="I68" s="43">
        <f>IF($B$8=12,B68,IF($B$8=4,0,IF($B$8=6,B40,IF($B$8=3,B26,0))))</f>
        <v>0</v>
      </c>
      <c r="J68" s="43">
        <f>IF($B$8=12,C68,IF($B$8=4,0,IF($B$8=6,C40,IF($B$8=3,C26,0))))</f>
        <v>0</v>
      </c>
      <c r="K68" s="68">
        <f>IF($B$8=12,D68,IF($B$8=4,0,IF($B$8=6,D40,IF($B$8=3,D26,0))))</f>
        <v>0</v>
      </c>
      <c r="M68" s="4195"/>
      <c r="N68" s="9" t="s">
        <v>25</v>
      </c>
      <c r="O68" s="43">
        <f t="shared" si="20"/>
        <v>0</v>
      </c>
      <c r="P68" s="43">
        <f t="shared" si="21"/>
        <v>0</v>
      </c>
      <c r="Q68" s="44">
        <f t="shared" si="22"/>
        <v>0</v>
      </c>
    </row>
    <row r="69" spans="1:17" ht="15.75" customHeight="1">
      <c r="A69" s="23">
        <v>58</v>
      </c>
      <c r="B69" s="43">
        <f t="shared" si="14"/>
        <v>0</v>
      </c>
      <c r="C69" s="123">
        <f t="shared" si="5"/>
        <v>0</v>
      </c>
      <c r="D69" s="43">
        <f t="shared" si="15"/>
        <v>0</v>
      </c>
      <c r="E69" s="68">
        <f t="shared" si="16"/>
        <v>0</v>
      </c>
      <c r="F69" s="51"/>
      <c r="G69" s="4195"/>
      <c r="H69" s="22" t="s">
        <v>26</v>
      </c>
      <c r="I69" s="43">
        <f>IF($B$8=12,B69,IF($B$8=4,B31,IF($B$8=6,0,IF($B$8=3,0,0))))</f>
        <v>0</v>
      </c>
      <c r="J69" s="43">
        <f>IF($B$8=12,C69,IF($B$8=4,C31,IF($B$8=6,0,IF($B$8=3,0,0))))</f>
        <v>0</v>
      </c>
      <c r="K69" s="68">
        <f>IF($B$8=12,D69,IF($B$8=4,D31,IF($B$8=6,0,IF($B$8=3,0,0))))</f>
        <v>0</v>
      </c>
      <c r="M69" s="4195"/>
      <c r="N69" s="9" t="s">
        <v>26</v>
      </c>
      <c r="O69" s="43">
        <f t="shared" si="20"/>
        <v>0</v>
      </c>
      <c r="P69" s="43">
        <f t="shared" si="21"/>
        <v>0</v>
      </c>
      <c r="Q69" s="44">
        <f t="shared" si="22"/>
        <v>0</v>
      </c>
    </row>
    <row r="70" spans="1:17" ht="15.75" customHeight="1">
      <c r="A70" s="23">
        <v>59</v>
      </c>
      <c r="B70" s="43">
        <f t="shared" si="14"/>
        <v>0</v>
      </c>
      <c r="C70" s="123">
        <f t="shared" si="5"/>
        <v>0</v>
      </c>
      <c r="D70" s="43">
        <f t="shared" si="15"/>
        <v>0</v>
      </c>
      <c r="E70" s="68">
        <f t="shared" si="16"/>
        <v>0</v>
      </c>
      <c r="F70" s="51"/>
      <c r="G70" s="4195"/>
      <c r="H70" s="22" t="s">
        <v>27</v>
      </c>
      <c r="I70" s="43">
        <f>IF($B$8=12,B70,IF($B$8=4,0,IF($B$8=6,B41,IF($B$8=3,0,0))))</f>
        <v>0</v>
      </c>
      <c r="J70" s="43">
        <f>IF($B$8=12,C70,IF($B$8=4,0,IF($B$8=6,C41,IF($B$8=3,0,0))))</f>
        <v>0</v>
      </c>
      <c r="K70" s="68">
        <f>IF($B$8=12,D70,IF($B$8=4,0,IF($B$8=6,D41,IF($B$8=3,0,0))))</f>
        <v>0</v>
      </c>
      <c r="M70" s="4195"/>
      <c r="N70" s="9" t="s">
        <v>27</v>
      </c>
      <c r="O70" s="43">
        <f t="shared" si="20"/>
        <v>0</v>
      </c>
      <c r="P70" s="43">
        <f t="shared" si="21"/>
        <v>0</v>
      </c>
      <c r="Q70" s="44">
        <f t="shared" si="22"/>
        <v>0</v>
      </c>
    </row>
    <row r="71" spans="1:17" ht="15.75" customHeight="1" thickBot="1">
      <c r="A71" s="26">
        <v>60</v>
      </c>
      <c r="B71" s="48">
        <f t="shared" si="14"/>
        <v>0</v>
      </c>
      <c r="C71" s="138">
        <f t="shared" si="5"/>
        <v>0</v>
      </c>
      <c r="D71" s="48">
        <f t="shared" si="15"/>
        <v>0</v>
      </c>
      <c r="E71" s="49">
        <f t="shared" si="16"/>
        <v>0</v>
      </c>
      <c r="F71" s="243">
        <f>SUM(D60:D71)</f>
        <v>0</v>
      </c>
      <c r="G71" s="4196"/>
      <c r="H71" s="38" t="s">
        <v>28</v>
      </c>
      <c r="I71" s="48">
        <f>IF($B$8=12,B71,IF($B$8=4,0,IF($B$8=6,0,IF($B$8=3,0,0))))</f>
        <v>0</v>
      </c>
      <c r="J71" s="48">
        <f>IF($B$8=12,C71,IF($B$8=4,0,IF($B$8=6,0,IF($B$8=3,0,0))))</f>
        <v>0</v>
      </c>
      <c r="K71" s="79">
        <f>IF($B$8=12,D71,IF($B$8=4,0,IF($B$8=6,0,IF($B$8=3,0,0))))</f>
        <v>0</v>
      </c>
      <c r="M71" s="4196"/>
      <c r="N71" s="36" t="s">
        <v>28</v>
      </c>
      <c r="O71" s="48">
        <f t="shared" si="20"/>
        <v>0</v>
      </c>
      <c r="P71" s="48">
        <f t="shared" si="21"/>
        <v>0</v>
      </c>
      <c r="Q71" s="49">
        <f t="shared" si="22"/>
        <v>0</v>
      </c>
    </row>
    <row r="72" spans="1:17" ht="16.5" thickTop="1">
      <c r="A72" s="23">
        <v>61</v>
      </c>
      <c r="B72" s="43">
        <f t="shared" ref="B72:B83" si="23">IF(A72&gt;$I$9,IF(E71&gt;1,PMT($B$6/$B$8,$B$7*$B$8,-$B$5),0),0)</f>
        <v>0</v>
      </c>
      <c r="C72" s="123">
        <f t="shared" ref="C72:C83" si="24">IF(B72&gt;0,B72-D72,E72*($B$6/$B$8))</f>
        <v>0</v>
      </c>
      <c r="D72" s="43">
        <f t="shared" ref="D72:D83" si="25">IF(A72&gt;$I$9,B72-(E71*($B$6/$B$8)),0)</f>
        <v>0</v>
      </c>
      <c r="E72" s="44">
        <f t="shared" ref="E72:E83" si="26">IF((E71-D72)&gt;0,E71-D72,0)</f>
        <v>0</v>
      </c>
      <c r="F72" s="51"/>
      <c r="H72" s="22" t="s">
        <v>17</v>
      </c>
      <c r="I72" s="43">
        <f t="shared" ref="I72:I83" si="27">IF($B$8=12,B72,IF($B$8=4,0,IF($B$8=6,0,IF($B$8=3,0,0))))</f>
        <v>0</v>
      </c>
      <c r="J72" s="43">
        <f t="shared" ref="J72:J83" si="28">IF($B$8=12,C72,IF($B$8=4,0,IF($B$8=6,0,IF($B$8=3,0,0))))</f>
        <v>0</v>
      </c>
      <c r="K72" s="68">
        <f t="shared" ref="K72:K83" si="29">IF($B$8=12,D72,IF($B$8=4,0,IF($B$8=6,0,IF($B$8=3,0,0))))</f>
        <v>0</v>
      </c>
      <c r="N72" s="9" t="s">
        <v>17</v>
      </c>
      <c r="O72" s="43">
        <f t="shared" ref="O72:O83" si="30">IF($I$6=5,I24,IF($I$6=4,I36,IF($I$6=3,I48,IF($I$6=2,I60,IF($I$6=1,I72,0)))))</f>
        <v>0</v>
      </c>
      <c r="P72" s="43">
        <f t="shared" ref="P72:P83" si="31">IF($I$6=5,J24,IF($I$6=4,J36,IF($I$6=3,J48,IF($I$6=2,J60,IF($I$6=1,J72,0)))))</f>
        <v>0</v>
      </c>
      <c r="Q72" s="44">
        <f t="shared" ref="Q72:Q83" si="32">IF($I$6=5,K24,IF($I$6=4,K36,IF($I$6=3,K48,IF($I$6=2,K60,IF($I$6=1,K72,0)))))</f>
        <v>0</v>
      </c>
    </row>
    <row r="73" spans="1:17">
      <c r="A73" s="23">
        <v>62</v>
      </c>
      <c r="B73" s="43">
        <f t="shared" si="23"/>
        <v>0</v>
      </c>
      <c r="C73" s="123">
        <f t="shared" si="24"/>
        <v>0</v>
      </c>
      <c r="D73" s="43">
        <f t="shared" si="25"/>
        <v>0</v>
      </c>
      <c r="E73" s="44">
        <f t="shared" si="26"/>
        <v>0</v>
      </c>
      <c r="F73"/>
      <c r="H73" s="22" t="s">
        <v>18</v>
      </c>
      <c r="I73" s="43">
        <f t="shared" si="27"/>
        <v>0</v>
      </c>
      <c r="J73" s="43">
        <f t="shared" si="28"/>
        <v>0</v>
      </c>
      <c r="K73" s="68">
        <f t="shared" si="29"/>
        <v>0</v>
      </c>
      <c r="N73" s="9" t="s">
        <v>18</v>
      </c>
      <c r="O73" s="43">
        <f t="shared" si="30"/>
        <v>0</v>
      </c>
      <c r="P73" s="43">
        <f t="shared" si="31"/>
        <v>0</v>
      </c>
      <c r="Q73" s="44">
        <f t="shared" si="32"/>
        <v>0</v>
      </c>
    </row>
    <row r="74" spans="1:17">
      <c r="A74" s="23">
        <v>63</v>
      </c>
      <c r="B74" s="43">
        <f t="shared" si="23"/>
        <v>0</v>
      </c>
      <c r="C74" s="123">
        <f t="shared" si="24"/>
        <v>0</v>
      </c>
      <c r="D74" s="43">
        <f t="shared" si="25"/>
        <v>0</v>
      </c>
      <c r="E74" s="44">
        <f t="shared" si="26"/>
        <v>0</v>
      </c>
      <c r="F74"/>
      <c r="H74" s="22" t="s">
        <v>19</v>
      </c>
      <c r="I74" s="43">
        <f t="shared" si="27"/>
        <v>0</v>
      </c>
      <c r="J74" s="43">
        <f t="shared" si="28"/>
        <v>0</v>
      </c>
      <c r="K74" s="68">
        <f t="shared" si="29"/>
        <v>0</v>
      </c>
      <c r="N74" s="9" t="s">
        <v>19</v>
      </c>
      <c r="O74" s="43">
        <f t="shared" si="30"/>
        <v>0</v>
      </c>
      <c r="P74" s="43">
        <f t="shared" si="31"/>
        <v>0</v>
      </c>
      <c r="Q74" s="44">
        <f t="shared" si="32"/>
        <v>0</v>
      </c>
    </row>
    <row r="75" spans="1:17">
      <c r="A75" s="23">
        <v>64</v>
      </c>
      <c r="B75" s="43">
        <f t="shared" si="23"/>
        <v>0</v>
      </c>
      <c r="C75" s="123">
        <f t="shared" si="24"/>
        <v>0</v>
      </c>
      <c r="D75" s="43">
        <f t="shared" si="25"/>
        <v>0</v>
      </c>
      <c r="E75" s="44">
        <f t="shared" si="26"/>
        <v>0</v>
      </c>
      <c r="F75"/>
      <c r="H75" s="22" t="s">
        <v>20</v>
      </c>
      <c r="I75" s="43">
        <f t="shared" si="27"/>
        <v>0</v>
      </c>
      <c r="J75" s="43">
        <f t="shared" si="28"/>
        <v>0</v>
      </c>
      <c r="K75" s="68">
        <f t="shared" si="29"/>
        <v>0</v>
      </c>
      <c r="N75" s="9" t="s">
        <v>20</v>
      </c>
      <c r="O75" s="43">
        <f t="shared" si="30"/>
        <v>0</v>
      </c>
      <c r="P75" s="43">
        <f t="shared" si="31"/>
        <v>0</v>
      </c>
      <c r="Q75" s="44">
        <f t="shared" si="32"/>
        <v>0</v>
      </c>
    </row>
    <row r="76" spans="1:17">
      <c r="A76" s="23">
        <v>65</v>
      </c>
      <c r="B76" s="43">
        <f t="shared" si="23"/>
        <v>0</v>
      </c>
      <c r="C76" s="123">
        <f t="shared" si="24"/>
        <v>0</v>
      </c>
      <c r="D76" s="43">
        <f t="shared" si="25"/>
        <v>0</v>
      </c>
      <c r="E76" s="44">
        <f t="shared" si="26"/>
        <v>0</v>
      </c>
      <c r="F76"/>
      <c r="H76" s="22" t="s">
        <v>21</v>
      </c>
      <c r="I76" s="43">
        <f t="shared" si="27"/>
        <v>0</v>
      </c>
      <c r="J76" s="43">
        <f t="shared" si="28"/>
        <v>0</v>
      </c>
      <c r="K76" s="68">
        <f t="shared" si="29"/>
        <v>0</v>
      </c>
      <c r="N76" s="9" t="s">
        <v>21</v>
      </c>
      <c r="O76" s="43">
        <f t="shared" si="30"/>
        <v>0</v>
      </c>
      <c r="P76" s="43">
        <f t="shared" si="31"/>
        <v>0</v>
      </c>
      <c r="Q76" s="44">
        <f t="shared" si="32"/>
        <v>0</v>
      </c>
    </row>
    <row r="77" spans="1:17">
      <c r="A77" s="23">
        <v>66</v>
      </c>
      <c r="B77" s="43">
        <f t="shared" si="23"/>
        <v>0</v>
      </c>
      <c r="C77" s="123">
        <f t="shared" si="24"/>
        <v>0</v>
      </c>
      <c r="D77" s="43">
        <f t="shared" si="25"/>
        <v>0</v>
      </c>
      <c r="E77" s="44">
        <f t="shared" si="26"/>
        <v>0</v>
      </c>
      <c r="F77"/>
      <c r="H77" s="22" t="s">
        <v>22</v>
      </c>
      <c r="I77" s="43">
        <f t="shared" si="27"/>
        <v>0</v>
      </c>
      <c r="J77" s="43">
        <f t="shared" si="28"/>
        <v>0</v>
      </c>
      <c r="K77" s="68">
        <f t="shared" si="29"/>
        <v>0</v>
      </c>
      <c r="N77" s="9" t="s">
        <v>22</v>
      </c>
      <c r="O77" s="43">
        <f t="shared" si="30"/>
        <v>0</v>
      </c>
      <c r="P77" s="43">
        <f t="shared" si="31"/>
        <v>0</v>
      </c>
      <c r="Q77" s="44">
        <f t="shared" si="32"/>
        <v>0</v>
      </c>
    </row>
    <row r="78" spans="1:17">
      <c r="A78" s="23">
        <v>67</v>
      </c>
      <c r="B78" s="43">
        <f t="shared" si="23"/>
        <v>0</v>
      </c>
      <c r="C78" s="123">
        <f t="shared" si="24"/>
        <v>0</v>
      </c>
      <c r="D78" s="43">
        <f t="shared" si="25"/>
        <v>0</v>
      </c>
      <c r="E78" s="44">
        <f t="shared" si="26"/>
        <v>0</v>
      </c>
      <c r="F78"/>
      <c r="H78" s="22" t="s">
        <v>23</v>
      </c>
      <c r="I78" s="43">
        <f t="shared" si="27"/>
        <v>0</v>
      </c>
      <c r="J78" s="43">
        <f t="shared" si="28"/>
        <v>0</v>
      </c>
      <c r="K78" s="68">
        <f t="shared" si="29"/>
        <v>0</v>
      </c>
      <c r="N78" s="9" t="s">
        <v>23</v>
      </c>
      <c r="O78" s="43">
        <f t="shared" si="30"/>
        <v>0</v>
      </c>
      <c r="P78" s="43">
        <f t="shared" si="31"/>
        <v>0</v>
      </c>
      <c r="Q78" s="44">
        <f t="shared" si="32"/>
        <v>0</v>
      </c>
    </row>
    <row r="79" spans="1:17">
      <c r="A79" s="23">
        <v>68</v>
      </c>
      <c r="B79" s="43">
        <f t="shared" si="23"/>
        <v>0</v>
      </c>
      <c r="C79" s="123">
        <f t="shared" si="24"/>
        <v>0</v>
      </c>
      <c r="D79" s="43">
        <f t="shared" si="25"/>
        <v>0</v>
      </c>
      <c r="E79" s="44">
        <f t="shared" si="26"/>
        <v>0</v>
      </c>
      <c r="F79"/>
      <c r="H79" s="22" t="s">
        <v>24</v>
      </c>
      <c r="I79" s="43">
        <f t="shared" si="27"/>
        <v>0</v>
      </c>
      <c r="J79" s="43">
        <f t="shared" si="28"/>
        <v>0</v>
      </c>
      <c r="K79" s="68">
        <f t="shared" si="29"/>
        <v>0</v>
      </c>
      <c r="N79" s="9" t="s">
        <v>24</v>
      </c>
      <c r="O79" s="43">
        <f t="shared" si="30"/>
        <v>0</v>
      </c>
      <c r="P79" s="43">
        <f t="shared" si="31"/>
        <v>0</v>
      </c>
      <c r="Q79" s="44">
        <f t="shared" si="32"/>
        <v>0</v>
      </c>
    </row>
    <row r="80" spans="1:17">
      <c r="A80" s="23">
        <v>69</v>
      </c>
      <c r="B80" s="43">
        <f t="shared" si="23"/>
        <v>0</v>
      </c>
      <c r="C80" s="123">
        <f t="shared" si="24"/>
        <v>0</v>
      </c>
      <c r="D80" s="43">
        <f t="shared" si="25"/>
        <v>0</v>
      </c>
      <c r="E80" s="44">
        <f t="shared" si="26"/>
        <v>0</v>
      </c>
      <c r="F80"/>
      <c r="H80" s="22" t="s">
        <v>25</v>
      </c>
      <c r="I80" s="43">
        <f t="shared" si="27"/>
        <v>0</v>
      </c>
      <c r="J80" s="43">
        <f t="shared" si="28"/>
        <v>0</v>
      </c>
      <c r="K80" s="68">
        <f t="shared" si="29"/>
        <v>0</v>
      </c>
      <c r="N80" s="9" t="s">
        <v>25</v>
      </c>
      <c r="O80" s="43">
        <f t="shared" si="30"/>
        <v>0</v>
      </c>
      <c r="P80" s="43">
        <f t="shared" si="31"/>
        <v>0</v>
      </c>
      <c r="Q80" s="44">
        <f t="shared" si="32"/>
        <v>0</v>
      </c>
    </row>
    <row r="81" spans="1:17">
      <c r="A81" s="23">
        <v>70</v>
      </c>
      <c r="B81" s="43">
        <f t="shared" si="23"/>
        <v>0</v>
      </c>
      <c r="C81" s="123">
        <f t="shared" si="24"/>
        <v>0</v>
      </c>
      <c r="D81" s="43">
        <f t="shared" si="25"/>
        <v>0</v>
      </c>
      <c r="E81" s="44">
        <f t="shared" si="26"/>
        <v>0</v>
      </c>
      <c r="F81"/>
      <c r="H81" s="22" t="s">
        <v>26</v>
      </c>
      <c r="I81" s="43">
        <f t="shared" si="27"/>
        <v>0</v>
      </c>
      <c r="J81" s="43">
        <f t="shared" si="28"/>
        <v>0</v>
      </c>
      <c r="K81" s="68">
        <f t="shared" si="29"/>
        <v>0</v>
      </c>
      <c r="N81" s="9" t="s">
        <v>26</v>
      </c>
      <c r="O81" s="43">
        <f t="shared" si="30"/>
        <v>0</v>
      </c>
      <c r="P81" s="43">
        <f t="shared" si="31"/>
        <v>0</v>
      </c>
      <c r="Q81" s="44">
        <f t="shared" si="32"/>
        <v>0</v>
      </c>
    </row>
    <row r="82" spans="1:17">
      <c r="A82" s="23">
        <v>71</v>
      </c>
      <c r="B82" s="43">
        <f t="shared" si="23"/>
        <v>0</v>
      </c>
      <c r="C82" s="123">
        <f t="shared" si="24"/>
        <v>0</v>
      </c>
      <c r="D82" s="43">
        <f t="shared" si="25"/>
        <v>0</v>
      </c>
      <c r="E82" s="44">
        <f t="shared" si="26"/>
        <v>0</v>
      </c>
      <c r="F82"/>
      <c r="H82" s="22" t="s">
        <v>27</v>
      </c>
      <c r="I82" s="43">
        <f t="shared" si="27"/>
        <v>0</v>
      </c>
      <c r="J82" s="43">
        <f t="shared" si="28"/>
        <v>0</v>
      </c>
      <c r="K82" s="68">
        <f t="shared" si="29"/>
        <v>0</v>
      </c>
      <c r="N82" s="9" t="s">
        <v>27</v>
      </c>
      <c r="O82" s="43">
        <f t="shared" si="30"/>
        <v>0</v>
      </c>
      <c r="P82" s="43">
        <f t="shared" si="31"/>
        <v>0</v>
      </c>
      <c r="Q82" s="44">
        <f t="shared" si="32"/>
        <v>0</v>
      </c>
    </row>
    <row r="83" spans="1:17" ht="16.5" thickBot="1">
      <c r="A83" s="26">
        <v>72</v>
      </c>
      <c r="B83" s="48">
        <f t="shared" si="23"/>
        <v>0</v>
      </c>
      <c r="C83" s="138">
        <f t="shared" si="24"/>
        <v>0</v>
      </c>
      <c r="D83" s="48">
        <f t="shared" si="25"/>
        <v>0</v>
      </c>
      <c r="E83" s="49">
        <f t="shared" si="26"/>
        <v>0</v>
      </c>
      <c r="F83" s="243">
        <f>SUM(D72:D83)</f>
        <v>0</v>
      </c>
      <c r="H83" s="38" t="s">
        <v>28</v>
      </c>
      <c r="I83" s="48">
        <f t="shared" si="27"/>
        <v>0</v>
      </c>
      <c r="J83" s="48">
        <f t="shared" si="28"/>
        <v>0</v>
      </c>
      <c r="K83" s="79">
        <f t="shared" si="29"/>
        <v>0</v>
      </c>
      <c r="N83" s="36" t="s">
        <v>28</v>
      </c>
      <c r="O83" s="48">
        <f t="shared" si="30"/>
        <v>0</v>
      </c>
      <c r="P83" s="48">
        <f t="shared" si="31"/>
        <v>0</v>
      </c>
      <c r="Q83" s="49">
        <f t="shared" si="32"/>
        <v>0</v>
      </c>
    </row>
    <row r="84" spans="1:17" ht="16.5" thickTop="1"/>
  </sheetData>
  <sheetProtection sheet="1" formatColumns="0" formatRows="0"/>
  <mergeCells count="10">
    <mergeCell ref="G12:G23"/>
    <mergeCell ref="G60:G71"/>
    <mergeCell ref="G24:G35"/>
    <mergeCell ref="G36:G47"/>
    <mergeCell ref="G48:G59"/>
    <mergeCell ref="M60:M71"/>
    <mergeCell ref="M12:M23"/>
    <mergeCell ref="M24:M35"/>
    <mergeCell ref="M36:M47"/>
    <mergeCell ref="M48:M59"/>
  </mergeCells>
  <phoneticPr fontId="9" type="noConversion"/>
  <dataValidations disablePrompts="1" xWindow="178" yWindow="332" count="2">
    <dataValidation type="whole" allowBlank="1" showInputMessage="1" showErrorMessage="1" prompt="12 - Pago mensual_x000a_  6 - Pago bimestral_x000a_  4 - Pago trimestral_x000a_  3 - Pago cuatrimestral_x000a_  2 - Pago semestral_x000a_  1 - Pago anual" sqref="B8">
      <formula1>1</formula1>
      <formula2>12</formula2>
    </dataValidation>
    <dataValidation type="decimal" allowBlank="1" showErrorMessage="1" sqref="B9">
      <formula1>0</formula1>
      <formula2>12</formula2>
    </dataValidation>
  </dataValidations>
  <printOptions horizontalCentered="1"/>
  <pageMargins left="0.78740157480314965" right="0.75" top="0.47244094488188981" bottom="0.15748031496062992" header="0" footer="0"/>
  <pageSetup paperSize="9" scale="44"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U84"/>
  <sheetViews>
    <sheetView topLeftCell="J1" zoomScale="75" zoomScaleNormal="65" zoomScaleSheetLayoutView="50" workbookViewId="0">
      <selection activeCell="T7" sqref="T7"/>
    </sheetView>
  </sheetViews>
  <sheetFormatPr baseColWidth="10" defaultColWidth="11.1640625" defaultRowHeight="15.75"/>
  <cols>
    <col min="1" max="1" width="24" style="9" customWidth="1"/>
    <col min="2" max="3" width="18.33203125" style="9" customWidth="1"/>
    <col min="4" max="4" width="20.1640625" style="9" bestFit="1" customWidth="1"/>
    <col min="5" max="5" width="21.83203125" style="9" customWidth="1"/>
    <col min="6" max="6" width="7" style="9" customWidth="1"/>
    <col min="7" max="7" width="3.83203125" style="9" customWidth="1"/>
    <col min="8" max="8" width="26.1640625" style="9" customWidth="1"/>
    <col min="9" max="9" width="18" style="9" customWidth="1"/>
    <col min="10" max="10" width="18.33203125" style="9" customWidth="1"/>
    <col min="11" max="11" width="20.83203125" style="9" customWidth="1"/>
    <col min="12" max="12" width="7" style="9" customWidth="1"/>
    <col min="13" max="13" width="3.83203125" style="9" customWidth="1"/>
    <col min="14" max="14" width="19.33203125" style="9" customWidth="1"/>
    <col min="15" max="16" width="18.33203125" style="9" customWidth="1"/>
    <col min="17" max="17" width="20.83203125" style="9" customWidth="1"/>
    <col min="18" max="18" width="21" style="9" customWidth="1"/>
    <col min="19" max="19" width="13.83203125" style="9" customWidth="1"/>
    <col min="20" max="20" width="14" style="9" customWidth="1"/>
    <col min="21" max="16384" width="11.1640625" style="9"/>
  </cols>
  <sheetData>
    <row r="1" spans="1:21" ht="39.950000000000003" customHeight="1" thickBot="1">
      <c r="A1" s="8" t="s">
        <v>123</v>
      </c>
      <c r="D1" s="96"/>
      <c r="E1" s="96"/>
      <c r="F1" s="96"/>
    </row>
    <row r="2" spans="1:21" ht="39.950000000000003" customHeight="1" thickTop="1" thickBot="1">
      <c r="A2" s="39"/>
      <c r="N2" s="17" t="s">
        <v>68</v>
      </c>
      <c r="O2" s="31" t="s">
        <v>14</v>
      </c>
      <c r="P2" s="31" t="s">
        <v>66</v>
      </c>
      <c r="Q2" s="33" t="s">
        <v>67</v>
      </c>
      <c r="R2" s="32" t="s">
        <v>15</v>
      </c>
      <c r="S2" s="242" t="s">
        <v>419</v>
      </c>
      <c r="T2" s="242" t="s">
        <v>420</v>
      </c>
      <c r="U2"/>
    </row>
    <row r="3" spans="1:21" ht="20.100000000000001" customHeight="1" thickTop="1">
      <c r="A3" s="8" t="e">
        <f>"Cuadro de Amortización del Crédito -  Año "&amp;'(0) 3b. Préstam Financ.'!#REF!</f>
        <v>#REF!</v>
      </c>
      <c r="G3" s="39"/>
      <c r="N3" s="27">
        <f>Año_comienzo_Plan</f>
        <v>0</v>
      </c>
      <c r="O3" s="41">
        <f>SUM(O12:O23)</f>
        <v>0</v>
      </c>
      <c r="P3" s="41">
        <f>SUM(P12:P23)</f>
        <v>0</v>
      </c>
      <c r="Q3" s="41">
        <f>SUM(Q12:Q23)</f>
        <v>0</v>
      </c>
      <c r="R3" s="44">
        <f>IF($I$6=1,$B$5-Q3,0)</f>
        <v>0</v>
      </c>
      <c r="S3" s="245">
        <v>0</v>
      </c>
      <c r="T3" s="245">
        <v>0</v>
      </c>
      <c r="U3" s="246">
        <f t="shared" ref="U3:U8" si="0">SUM(S3:T3)</f>
        <v>0</v>
      </c>
    </row>
    <row r="4" spans="1:21" ht="20.100000000000001" customHeight="1" thickBot="1">
      <c r="N4" s="28">
        <f>N3+1</f>
        <v>1</v>
      </c>
      <c r="O4" s="43">
        <f>SUM(O24:O35)</f>
        <v>0</v>
      </c>
      <c r="P4" s="43">
        <f>SUM(P24:P35)</f>
        <v>0</v>
      </c>
      <c r="Q4" s="43">
        <f>SUM(Q24:Q35)</f>
        <v>0</v>
      </c>
      <c r="R4" s="44">
        <f>IF($I$6=1,$B$5-(Q3+Q4),IF($I$6=2,$B$5-Q4,0))</f>
        <v>0</v>
      </c>
      <c r="S4" s="245">
        <v>0</v>
      </c>
      <c r="T4" s="245">
        <v>0</v>
      </c>
      <c r="U4" s="246">
        <f t="shared" si="0"/>
        <v>0</v>
      </c>
    </row>
    <row r="5" spans="1:21" ht="20.100000000000001" customHeight="1" thickTop="1" thickBot="1">
      <c r="A5" s="10" t="s">
        <v>54</v>
      </c>
      <c r="B5" s="124">
        <f>'(0) 3b. Préstam Financ.'!O17</f>
        <v>0</v>
      </c>
      <c r="C5" s="96"/>
      <c r="N5" s="28">
        <f>N3+2</f>
        <v>2</v>
      </c>
      <c r="O5" s="43">
        <f>SUM(O36:O47)</f>
        <v>0</v>
      </c>
      <c r="P5" s="43">
        <f>SUM(P36:P47)</f>
        <v>0</v>
      </c>
      <c r="Q5" s="43">
        <f>SUM(Q36:Q47)</f>
        <v>0</v>
      </c>
      <c r="R5" s="44">
        <f>IF($I$6=1,$B$5-(Q3+Q4+Q5),IF($I$6=2,$B$5-(Q4+Q5),IF($I$6=3,$B$5-(Q5),0)))</f>
        <v>0</v>
      </c>
      <c r="S5" s="245">
        <v>0</v>
      </c>
      <c r="T5" s="245">
        <v>0</v>
      </c>
      <c r="U5" s="246">
        <f t="shared" si="0"/>
        <v>0</v>
      </c>
    </row>
    <row r="6" spans="1:21" ht="20.100000000000001" customHeight="1" thickBot="1">
      <c r="A6" s="11" t="s">
        <v>9</v>
      </c>
      <c r="B6" s="125">
        <f>'(0) 3b. Préstam Financ.'!O18</f>
        <v>0.05</v>
      </c>
      <c r="C6" s="96"/>
      <c r="D6" s="106"/>
      <c r="E6" s="12" t="s">
        <v>70</v>
      </c>
      <c r="F6" s="13"/>
      <c r="G6" s="14"/>
      <c r="H6" s="14"/>
      <c r="I6" s="129" t="str">
        <f>IF('(0) 3b. Préstam Financ.'!O17&gt;0,5,"")</f>
        <v/>
      </c>
      <c r="J6" s="15" t="s">
        <v>75</v>
      </c>
      <c r="N6" s="28">
        <f>N3+3</f>
        <v>3</v>
      </c>
      <c r="O6" s="43">
        <f>SUM(O48:O59)</f>
        <v>0</v>
      </c>
      <c r="P6" s="43">
        <f>IF(SUM(P48:P59)&lt;&gt;0,SUM(P48:P59),0)</f>
        <v>0</v>
      </c>
      <c r="Q6" s="43">
        <f>SUM(Q48:Q59)</f>
        <v>0</v>
      </c>
      <c r="R6" s="44">
        <f>IF($I$6=1,$B$5-(Q3+Q4+Q5+Q6),IF($I$6=2,$B$5-(Q4+Q5+Q6),IF($I$6=3,$B$5-(Q5+Q6),IF($I$6=4,$B$5-Q6,0))))</f>
        <v>0</v>
      </c>
      <c r="S6" s="245">
        <v>0</v>
      </c>
      <c r="T6" s="245">
        <v>0</v>
      </c>
      <c r="U6" s="246">
        <f t="shared" si="0"/>
        <v>0</v>
      </c>
    </row>
    <row r="7" spans="1:21" ht="20.100000000000001" customHeight="1" thickBot="1">
      <c r="A7" s="11" t="s">
        <v>10</v>
      </c>
      <c r="B7" s="126">
        <f>'(0) 3b. Préstam Financ.'!O19</f>
        <v>5</v>
      </c>
      <c r="C7" s="96"/>
      <c r="N7" s="29">
        <f>N3+4</f>
        <v>4</v>
      </c>
      <c r="O7" s="48">
        <f>SUM(O60:O71)</f>
        <v>0</v>
      </c>
      <c r="P7" s="48">
        <f>SUM(P60:P71)</f>
        <v>0</v>
      </c>
      <c r="Q7" s="48">
        <f>SUM(Q60:Q71)</f>
        <v>0</v>
      </c>
      <c r="R7" s="49">
        <f>IF($I$6=1,$B$5-(Q3+Q4+Q5+Q6+Q7),IF($I$6=2,$B$5-(Q4+Q5+Q6+Q7),IF($I$6=3,$B$5-(Q5+Q6+Q7),IF($I$6=4,$B$5-(Q6+Q7),IF($I$6=5,$B$5-Q7,0)))))</f>
        <v>0</v>
      </c>
      <c r="S7" s="245">
        <f>IF($E$23=0,0,$E$23-$F$35)</f>
        <v>0</v>
      </c>
      <c r="T7" s="245">
        <f>$F$35</f>
        <v>0</v>
      </c>
      <c r="U7" s="246">
        <f t="shared" si="0"/>
        <v>0</v>
      </c>
    </row>
    <row r="8" spans="1:21" ht="20.100000000000001" customHeight="1" thickTop="1" thickBot="1">
      <c r="A8" s="11" t="s">
        <v>12</v>
      </c>
      <c r="B8" s="126">
        <f>'(0) 3b. Préstam Financ.'!O20</f>
        <v>12</v>
      </c>
      <c r="C8" s="96"/>
      <c r="N8" s="29">
        <f>N4+4</f>
        <v>5</v>
      </c>
      <c r="O8" s="48">
        <f>SUM(O72:O83)</f>
        <v>0</v>
      </c>
      <c r="P8" s="48">
        <f>SUM(P72:P83)</f>
        <v>0</v>
      </c>
      <c r="Q8" s="48">
        <f>SUM(Q72:Q83)</f>
        <v>0</v>
      </c>
      <c r="R8" s="49">
        <f>IF($I$6=1,$B$5-(Q3+Q4+Q5+Q6+Q7+Q8),IF($I$6=2,$B$5-(Q4+Q5+Q6+Q7+Q8),IF($I$6=3,$B$5-(Q5+Q6+Q7+Q8),IF($I$6=4,$B$5-(Q6+Q7+Q8),IF($I$6=5,$B$5-(Q7+Q8),IF($I$6=6,$B$5-(Q8),0))))))</f>
        <v>0</v>
      </c>
      <c r="S8" s="244"/>
      <c r="T8" s="244"/>
      <c r="U8" s="246">
        <f t="shared" si="0"/>
        <v>0</v>
      </c>
    </row>
    <row r="9" spans="1:21" ht="20.100000000000001" customHeight="1" thickTop="1" thickBot="1">
      <c r="A9" s="16"/>
      <c r="B9" s="127"/>
      <c r="C9" s="96"/>
      <c r="D9" s="108" t="s">
        <v>82</v>
      </c>
      <c r="E9" s="231">
        <f>'(0) 3b. Préstam Financ.'!O22*0</f>
        <v>0</v>
      </c>
      <c r="H9" s="108" t="s">
        <v>97</v>
      </c>
      <c r="I9" s="128">
        <f>'(0) 3b. Préstam Financ.'!O21</f>
        <v>0</v>
      </c>
    </row>
    <row r="10" spans="1:21" ht="20.100000000000001" customHeight="1" thickTop="1" thickBot="1"/>
    <row r="11" spans="1:21" ht="33" customHeight="1" thickTop="1" thickBot="1">
      <c r="A11" s="17" t="s">
        <v>13</v>
      </c>
      <c r="B11" s="31" t="s">
        <v>14</v>
      </c>
      <c r="C11" s="18" t="s">
        <v>11</v>
      </c>
      <c r="D11" s="18" t="s">
        <v>6</v>
      </c>
      <c r="E11" s="19" t="s">
        <v>15</v>
      </c>
      <c r="F11" s="64"/>
      <c r="H11" s="17" t="s">
        <v>42</v>
      </c>
      <c r="I11" s="31" t="s">
        <v>14</v>
      </c>
      <c r="J11" s="31" t="s">
        <v>66</v>
      </c>
      <c r="K11" s="32" t="s">
        <v>67</v>
      </c>
      <c r="L11" s="20"/>
      <c r="M11" s="30"/>
      <c r="N11" s="17" t="s">
        <v>42</v>
      </c>
      <c r="O11" s="31" t="s">
        <v>14</v>
      </c>
      <c r="P11" s="31" t="s">
        <v>66</v>
      </c>
      <c r="Q11" s="32" t="s">
        <v>67</v>
      </c>
    </row>
    <row r="12" spans="1:21" ht="15.75" customHeight="1" thickTop="1">
      <c r="A12" s="21">
        <v>1</v>
      </c>
      <c r="B12" s="43">
        <f t="shared" ref="B12:B43" si="1">IF(A12&gt;$I$9,IF(E11&gt;1,PMT($B$6/$B$8,$B$7*$B$8,-$B$5),0),0)</f>
        <v>0</v>
      </c>
      <c r="C12" s="122">
        <f>IF(B12&gt;0,B12-D12,E12*($B$6/$B$8))+E9</f>
        <v>0</v>
      </c>
      <c r="D12" s="41">
        <f>IF(A12&gt;$I$9,B12-($B$5*($B$6/$B$8)),0)</f>
        <v>0</v>
      </c>
      <c r="E12" s="67">
        <f>$B$5-D12</f>
        <v>0</v>
      </c>
      <c r="F12" s="51"/>
      <c r="G12" s="4194">
        <f>IF($B$5=0,$N$3,IF(O3&gt;0,N3,IF(O4&gt;0,N4,IF(O5&gt;0,N5,IF(O6&gt;0,N6,N7)))))</f>
        <v>0</v>
      </c>
      <c r="H12" s="34" t="s">
        <v>17</v>
      </c>
      <c r="I12" s="41">
        <f>$B$12</f>
        <v>0</v>
      </c>
      <c r="J12" s="41">
        <f>C12</f>
        <v>0</v>
      </c>
      <c r="K12" s="67">
        <f>D12</f>
        <v>0</v>
      </c>
      <c r="M12" s="4194">
        <f>'1.Datos Básicos. Product-Serv'!B7</f>
        <v>0</v>
      </c>
      <c r="N12" s="34" t="s">
        <v>17</v>
      </c>
      <c r="O12" s="41">
        <f t="shared" ref="O12:O23" si="2">IF($I$6=1,I12,0)</f>
        <v>0</v>
      </c>
      <c r="P12" s="41">
        <f t="shared" ref="P12:P23" si="3">IF($I$6=1,J12,0)</f>
        <v>0</v>
      </c>
      <c r="Q12" s="42">
        <f t="shared" ref="Q12:Q23" si="4">IF($I$6=1,K12,0)</f>
        <v>0</v>
      </c>
    </row>
    <row r="13" spans="1:21" ht="15.75" customHeight="1">
      <c r="A13" s="23">
        <v>2</v>
      </c>
      <c r="B13" s="43">
        <f t="shared" si="1"/>
        <v>0</v>
      </c>
      <c r="C13" s="123">
        <f t="shared" ref="C13:C71" si="5">IF(B13&gt;0,B13-D13,E13*($B$6/$B$8))</f>
        <v>0</v>
      </c>
      <c r="D13" s="43">
        <f t="shared" ref="D13:D44" si="6">IF(A13&gt;$I$9,B13-(E12*($B$6/$B$8)),0)</f>
        <v>0</v>
      </c>
      <c r="E13" s="68">
        <f t="shared" ref="E13:E44" si="7">IF((E12-D13)&gt;0,E12-D13,0)</f>
        <v>0</v>
      </c>
      <c r="F13" s="51"/>
      <c r="G13" s="4195"/>
      <c r="H13" s="9" t="s">
        <v>18</v>
      </c>
      <c r="I13" s="43">
        <f>IF($B$8=12,B13,0)</f>
        <v>0</v>
      </c>
      <c r="J13" s="43">
        <f>IF($B$8=12,C13,0)</f>
        <v>0</v>
      </c>
      <c r="K13" s="68">
        <f>IF($B$8=12,D13,0)</f>
        <v>0</v>
      </c>
      <c r="M13" s="4195"/>
      <c r="N13" s="9" t="s">
        <v>18</v>
      </c>
      <c r="O13" s="43">
        <f t="shared" si="2"/>
        <v>0</v>
      </c>
      <c r="P13" s="43">
        <f t="shared" si="3"/>
        <v>0</v>
      </c>
      <c r="Q13" s="44">
        <f t="shared" si="4"/>
        <v>0</v>
      </c>
    </row>
    <row r="14" spans="1:21" ht="15.75" customHeight="1">
      <c r="A14" s="23">
        <v>3</v>
      </c>
      <c r="B14" s="43">
        <f t="shared" si="1"/>
        <v>0</v>
      </c>
      <c r="C14" s="123">
        <f t="shared" si="5"/>
        <v>0</v>
      </c>
      <c r="D14" s="43">
        <f t="shared" si="6"/>
        <v>0</v>
      </c>
      <c r="E14" s="68">
        <f t="shared" si="7"/>
        <v>0</v>
      </c>
      <c r="F14" s="51"/>
      <c r="G14" s="4195"/>
      <c r="H14" s="9" t="s">
        <v>19</v>
      </c>
      <c r="I14" s="43">
        <f>IF($B$8=12,B14,IF($B$8=6,B13,0))</f>
        <v>0</v>
      </c>
      <c r="J14" s="43">
        <f>IF($B$8=12,C14,IF($B$8=6,C13,0))</f>
        <v>0</v>
      </c>
      <c r="K14" s="68">
        <f>IF($B$8=12,D14,IF($B$8=6,D13,0))</f>
        <v>0</v>
      </c>
      <c r="M14" s="4195"/>
      <c r="N14" s="9" t="s">
        <v>19</v>
      </c>
      <c r="O14" s="43">
        <f t="shared" si="2"/>
        <v>0</v>
      </c>
      <c r="P14" s="43">
        <f t="shared" si="3"/>
        <v>0</v>
      </c>
      <c r="Q14" s="44">
        <f t="shared" si="4"/>
        <v>0</v>
      </c>
    </row>
    <row r="15" spans="1:21" ht="15.75" customHeight="1">
      <c r="A15" s="23">
        <v>4</v>
      </c>
      <c r="B15" s="43">
        <f t="shared" si="1"/>
        <v>0</v>
      </c>
      <c r="C15" s="123">
        <f t="shared" si="5"/>
        <v>0</v>
      </c>
      <c r="D15" s="43">
        <f t="shared" si="6"/>
        <v>0</v>
      </c>
      <c r="E15" s="68">
        <f t="shared" si="7"/>
        <v>0</v>
      </c>
      <c r="F15" s="51"/>
      <c r="G15" s="4195"/>
      <c r="H15" s="9" t="s">
        <v>20</v>
      </c>
      <c r="I15" s="43">
        <f>IF($B$8=12,B15,IF($B$8=4,B13,IF($B$8=6,0,IF($B$8=3,0,0))))</f>
        <v>0</v>
      </c>
      <c r="J15" s="43">
        <f>IF($B$8=12,C15,IF($B$8=4,C13,IF($B$8=6,0,IF($B$8=3,0,0))))</f>
        <v>0</v>
      </c>
      <c r="K15" s="68">
        <f>IF($B$8=12,D15,IF($B$8=4,D13,IF($B$8=6,0,IF($B$8=3,0,0))))</f>
        <v>0</v>
      </c>
      <c r="M15" s="4195"/>
      <c r="N15" s="9" t="s">
        <v>20</v>
      </c>
      <c r="O15" s="43">
        <f t="shared" si="2"/>
        <v>0</v>
      </c>
      <c r="P15" s="43">
        <f t="shared" si="3"/>
        <v>0</v>
      </c>
      <c r="Q15" s="44">
        <f t="shared" si="4"/>
        <v>0</v>
      </c>
    </row>
    <row r="16" spans="1:21" ht="15.75" customHeight="1">
      <c r="A16" s="23">
        <v>5</v>
      </c>
      <c r="B16" s="43">
        <f t="shared" si="1"/>
        <v>0</v>
      </c>
      <c r="C16" s="123">
        <f t="shared" si="5"/>
        <v>0</v>
      </c>
      <c r="D16" s="43">
        <f t="shared" si="6"/>
        <v>0</v>
      </c>
      <c r="E16" s="68">
        <f t="shared" si="7"/>
        <v>0</v>
      </c>
      <c r="F16" s="51"/>
      <c r="G16" s="4195"/>
      <c r="H16" s="9" t="s">
        <v>21</v>
      </c>
      <c r="I16" s="43">
        <f>IF($B$8=12,B16,IF($B$8=4,0,IF($B$8=6,B14,IF($B$8=3,B13,0))))</f>
        <v>0</v>
      </c>
      <c r="J16" s="43">
        <f>IF($B$8=12,C16,IF($B$8=4,0,IF($B$8=6,C14,IF($B$8=3,C13,0))))</f>
        <v>0</v>
      </c>
      <c r="K16" s="68">
        <f>IF($B$8=12,D16,IF($B$8=4,0,IF($B$8=6,D14,IF($B$8=3,D13,0))))</f>
        <v>0</v>
      </c>
      <c r="M16" s="4195"/>
      <c r="N16" s="9" t="s">
        <v>21</v>
      </c>
      <c r="O16" s="43">
        <f t="shared" si="2"/>
        <v>0</v>
      </c>
      <c r="P16" s="43">
        <f t="shared" si="3"/>
        <v>0</v>
      </c>
      <c r="Q16" s="44">
        <f t="shared" si="4"/>
        <v>0</v>
      </c>
    </row>
    <row r="17" spans="1:17" ht="15.75" customHeight="1">
      <c r="A17" s="23">
        <v>6</v>
      </c>
      <c r="B17" s="43">
        <f t="shared" si="1"/>
        <v>0</v>
      </c>
      <c r="C17" s="123">
        <f t="shared" si="5"/>
        <v>0</v>
      </c>
      <c r="D17" s="43">
        <f t="shared" si="6"/>
        <v>0</v>
      </c>
      <c r="E17" s="68">
        <f t="shared" si="7"/>
        <v>0</v>
      </c>
      <c r="F17" s="51"/>
      <c r="G17" s="4195"/>
      <c r="H17" s="9" t="s">
        <v>22</v>
      </c>
      <c r="I17" s="43">
        <f>IF($B$8=12,B17,IF($B$8=4,0,IF($B$8=6,0,IF($B$8=3,0,0))))</f>
        <v>0</v>
      </c>
      <c r="J17" s="43">
        <f>IF($B$8=12,C17,IF($B$8=4,0,IF($B$8=6,0,IF($B$8=3,0,0))))</f>
        <v>0</v>
      </c>
      <c r="K17" s="68">
        <f>IF($B$8=12,D17,IF($B$8=4,0,IF($B$8=6,0,IF($B$8=3,0,0))))</f>
        <v>0</v>
      </c>
      <c r="M17" s="4195"/>
      <c r="N17" s="9" t="s">
        <v>22</v>
      </c>
      <c r="O17" s="43">
        <f t="shared" si="2"/>
        <v>0</v>
      </c>
      <c r="P17" s="43">
        <f t="shared" si="3"/>
        <v>0</v>
      </c>
      <c r="Q17" s="44">
        <f t="shared" si="4"/>
        <v>0</v>
      </c>
    </row>
    <row r="18" spans="1:17" ht="15.75" customHeight="1">
      <c r="A18" s="23">
        <v>7</v>
      </c>
      <c r="B18" s="43">
        <f t="shared" si="1"/>
        <v>0</v>
      </c>
      <c r="C18" s="123">
        <f t="shared" si="5"/>
        <v>0</v>
      </c>
      <c r="D18" s="43">
        <f t="shared" si="6"/>
        <v>0</v>
      </c>
      <c r="E18" s="68">
        <f t="shared" si="7"/>
        <v>0</v>
      </c>
      <c r="F18" s="51"/>
      <c r="G18" s="4195"/>
      <c r="H18" s="9" t="s">
        <v>23</v>
      </c>
      <c r="I18" s="43">
        <f>IF($B$8=12,B18,IF($B$8=4,B14,IF($B$8=6,B15,IF($B$8=3,0,IF($B$8=2,B13,0)))))</f>
        <v>0</v>
      </c>
      <c r="J18" s="43">
        <f>IF($B$8=12,C18,IF($B$8=4,C14,IF($B$8=6,C15,IF($B$8=3,0,IF($B$8=2,C13,0)))))</f>
        <v>0</v>
      </c>
      <c r="K18" s="68">
        <f>IF($B$8=12,D18,IF($B$8=4,D14,IF($B$8=6,D15,IF($B$8=3,0,IF($B$8=2,D13,0)))))</f>
        <v>0</v>
      </c>
      <c r="M18" s="4195"/>
      <c r="N18" s="9" t="s">
        <v>23</v>
      </c>
      <c r="O18" s="43">
        <f t="shared" si="2"/>
        <v>0</v>
      </c>
      <c r="P18" s="43">
        <f t="shared" si="3"/>
        <v>0</v>
      </c>
      <c r="Q18" s="44">
        <f t="shared" si="4"/>
        <v>0</v>
      </c>
    </row>
    <row r="19" spans="1:17" ht="15.75" customHeight="1">
      <c r="A19" s="23">
        <v>8</v>
      </c>
      <c r="B19" s="43">
        <f t="shared" si="1"/>
        <v>0</v>
      </c>
      <c r="C19" s="123">
        <f t="shared" si="5"/>
        <v>0</v>
      </c>
      <c r="D19" s="43">
        <f t="shared" si="6"/>
        <v>0</v>
      </c>
      <c r="E19" s="68">
        <f t="shared" si="7"/>
        <v>0</v>
      </c>
      <c r="F19" s="51"/>
      <c r="G19" s="4195"/>
      <c r="H19" s="9" t="s">
        <v>24</v>
      </c>
      <c r="I19" s="43">
        <f>IF($B$8=12,B19,IF($B$8=4,0,IF($B$8=6,0,IF($B$8=3,0,0))))</f>
        <v>0</v>
      </c>
      <c r="J19" s="43">
        <f>IF($B$8=12,C19,IF($B$8=4,0,IF($B$8=6,0,IF($B$8=3,0,0))))</f>
        <v>0</v>
      </c>
      <c r="K19" s="68">
        <f>IF($B$8=12,D19,IF($B$8=4,0,IF($B$8=6,0,IF($B$8=3,0,0))))</f>
        <v>0</v>
      </c>
      <c r="M19" s="4195"/>
      <c r="N19" s="9" t="s">
        <v>24</v>
      </c>
      <c r="O19" s="43">
        <f t="shared" si="2"/>
        <v>0</v>
      </c>
      <c r="P19" s="43">
        <f t="shared" si="3"/>
        <v>0</v>
      </c>
      <c r="Q19" s="44">
        <f t="shared" si="4"/>
        <v>0</v>
      </c>
    </row>
    <row r="20" spans="1:17" ht="15.75" customHeight="1">
      <c r="A20" s="23">
        <v>9</v>
      </c>
      <c r="B20" s="43">
        <f t="shared" si="1"/>
        <v>0</v>
      </c>
      <c r="C20" s="123">
        <f t="shared" si="5"/>
        <v>0</v>
      </c>
      <c r="D20" s="43">
        <f t="shared" si="6"/>
        <v>0</v>
      </c>
      <c r="E20" s="68">
        <f t="shared" si="7"/>
        <v>0</v>
      </c>
      <c r="F20" s="51"/>
      <c r="G20" s="4195"/>
      <c r="H20" s="9" t="s">
        <v>25</v>
      </c>
      <c r="I20" s="43">
        <f>IF($B$8=12,B20,IF($B$8=4,0,IF($B$8=6,B16,IF($B$8=3,B14,0))))</f>
        <v>0</v>
      </c>
      <c r="J20" s="43">
        <f>IF($B$8=12,C20,IF($B$8=4,0,IF($B$8=6,C16,IF($B$8=3,C14,0))))</f>
        <v>0</v>
      </c>
      <c r="K20" s="68">
        <f>IF($B$8=12,D20,IF($B$8=4,0,IF($B$8=6,D16,IF($B$8=3,D14,0))))</f>
        <v>0</v>
      </c>
      <c r="M20" s="4195"/>
      <c r="N20" s="9" t="s">
        <v>25</v>
      </c>
      <c r="O20" s="43">
        <f t="shared" si="2"/>
        <v>0</v>
      </c>
      <c r="P20" s="43">
        <f t="shared" si="3"/>
        <v>0</v>
      </c>
      <c r="Q20" s="44">
        <f t="shared" si="4"/>
        <v>0</v>
      </c>
    </row>
    <row r="21" spans="1:17" ht="15.75" customHeight="1">
      <c r="A21" s="23">
        <v>10</v>
      </c>
      <c r="B21" s="43">
        <f t="shared" si="1"/>
        <v>0</v>
      </c>
      <c r="C21" s="123">
        <f t="shared" si="5"/>
        <v>0</v>
      </c>
      <c r="D21" s="43">
        <f t="shared" si="6"/>
        <v>0</v>
      </c>
      <c r="E21" s="68">
        <f t="shared" si="7"/>
        <v>0</v>
      </c>
      <c r="F21" s="51"/>
      <c r="G21" s="4195"/>
      <c r="H21" s="9" t="s">
        <v>26</v>
      </c>
      <c r="I21" s="43">
        <f>IF($B$8=12,B21,IF($B$8=4,B15,IF($B$8=6,0,IF($B$8=3,0,0))))</f>
        <v>0</v>
      </c>
      <c r="J21" s="43">
        <f>IF($B$8=12,C21,IF($B$8=4,C15,IF($B$8=6,0,IF($B$8=3,0,0))))</f>
        <v>0</v>
      </c>
      <c r="K21" s="68">
        <f>IF($B$8=12,D21,IF($B$8=4,D15,IF($B$8=6,0,IF($B$8=3,0,0))))</f>
        <v>0</v>
      </c>
      <c r="M21" s="4195"/>
      <c r="N21" s="9" t="s">
        <v>26</v>
      </c>
      <c r="O21" s="43">
        <f t="shared" si="2"/>
        <v>0</v>
      </c>
      <c r="P21" s="43">
        <f t="shared" si="3"/>
        <v>0</v>
      </c>
      <c r="Q21" s="44">
        <f t="shared" si="4"/>
        <v>0</v>
      </c>
    </row>
    <row r="22" spans="1:17" ht="15.75" customHeight="1">
      <c r="A22" s="23">
        <v>11</v>
      </c>
      <c r="B22" s="43">
        <f t="shared" si="1"/>
        <v>0</v>
      </c>
      <c r="C22" s="123">
        <f t="shared" si="5"/>
        <v>0</v>
      </c>
      <c r="D22" s="43">
        <f t="shared" si="6"/>
        <v>0</v>
      </c>
      <c r="E22" s="68">
        <f t="shared" si="7"/>
        <v>0</v>
      </c>
      <c r="F22" s="51"/>
      <c r="G22" s="4195"/>
      <c r="H22" s="9" t="s">
        <v>27</v>
      </c>
      <c r="I22" s="43">
        <f>IF($B$8=12,B22,IF($B$8=4,0,IF($B$8=6,B17,IF($B$8=3,0,0))))</f>
        <v>0</v>
      </c>
      <c r="J22" s="43">
        <f>IF($B$8=12,C22,IF($B$8=4,0,IF($B$8=6,C17,IF($B$8=3,0,0))))</f>
        <v>0</v>
      </c>
      <c r="K22" s="68">
        <f>IF($B$8=12,D22,IF($B$8=4,0,IF($B$8=6,D17,IF($B$8=3,0,0))))</f>
        <v>0</v>
      </c>
      <c r="M22" s="4195"/>
      <c r="N22" s="9" t="s">
        <v>27</v>
      </c>
      <c r="O22" s="43">
        <f t="shared" si="2"/>
        <v>0</v>
      </c>
      <c r="P22" s="43">
        <f t="shared" si="3"/>
        <v>0</v>
      </c>
      <c r="Q22" s="44">
        <f t="shared" si="4"/>
        <v>0</v>
      </c>
    </row>
    <row r="23" spans="1:17" ht="15.75" customHeight="1" thickBot="1">
      <c r="A23" s="24">
        <v>12</v>
      </c>
      <c r="B23" s="70">
        <f t="shared" si="1"/>
        <v>0</v>
      </c>
      <c r="C23" s="139">
        <f t="shared" si="5"/>
        <v>0</v>
      </c>
      <c r="D23" s="70">
        <f t="shared" si="6"/>
        <v>0</v>
      </c>
      <c r="E23" s="75">
        <f t="shared" si="7"/>
        <v>0</v>
      </c>
      <c r="F23" s="243">
        <f>SUM(D12:D23)</f>
        <v>0</v>
      </c>
      <c r="G23" s="4196"/>
      <c r="H23" s="37" t="s">
        <v>28</v>
      </c>
      <c r="I23" s="70">
        <f>IF($B$8=12,B23,IF($B$8=4,0,IF($B$8=6,0,IF($B$8=3,0,0))))</f>
        <v>0</v>
      </c>
      <c r="J23" s="70">
        <f>IF($B$8=12,C23,IF($B$8=4,0,IF($B$8=6,0,IF($B$8=3,0,0))))</f>
        <v>0</v>
      </c>
      <c r="K23" s="72">
        <f>IF($B$8=12,D23,IF($B$8=4,0,IF($B$8=6,0,IF($B$8=3,0,0))))</f>
        <v>0</v>
      </c>
      <c r="M23" s="4196"/>
      <c r="N23" s="35" t="s">
        <v>28</v>
      </c>
      <c r="O23" s="45">
        <f t="shared" si="2"/>
        <v>0</v>
      </c>
      <c r="P23" s="45">
        <f t="shared" si="3"/>
        <v>0</v>
      </c>
      <c r="Q23" s="46">
        <f t="shared" si="4"/>
        <v>0</v>
      </c>
    </row>
    <row r="24" spans="1:17" ht="15.75" customHeight="1">
      <c r="A24" s="23">
        <v>13</v>
      </c>
      <c r="B24" s="43">
        <f t="shared" si="1"/>
        <v>0</v>
      </c>
      <c r="C24" s="123">
        <f t="shared" si="5"/>
        <v>0</v>
      </c>
      <c r="D24" s="43">
        <f t="shared" si="6"/>
        <v>0</v>
      </c>
      <c r="E24" s="68">
        <f t="shared" si="7"/>
        <v>0</v>
      </c>
      <c r="F24" s="51"/>
      <c r="G24" s="4194">
        <f>G12+1</f>
        <v>1</v>
      </c>
      <c r="H24" s="22" t="s">
        <v>17</v>
      </c>
      <c r="I24" s="43">
        <f>IF($B$8=12,B24,IF($B$8=4,B16,IF($B$8=6,B18,IF($B$8=3,B15,IF($B$8=2,B14,IF($B$8,B13,0))))))</f>
        <v>0</v>
      </c>
      <c r="J24" s="43">
        <f>IF($B$8=12,C24,IF($B$8=4,C16,IF($B$8=6,C18,IF($B$8=3,C15,IF($B$8=2,C14,IF($B$8,C13,0))))))</f>
        <v>0</v>
      </c>
      <c r="K24" s="68">
        <f>IF($B$8=12,D24,IF($B$8=4,D16,IF($B$8=6,D18,IF($B$8=3,D15,IF($B$8=2,D14,IF($B$8,D13,0))))))</f>
        <v>0</v>
      </c>
      <c r="M24" s="4194">
        <f>M12+1</f>
        <v>1</v>
      </c>
      <c r="N24" s="9" t="s">
        <v>17</v>
      </c>
      <c r="O24" s="43">
        <f t="shared" ref="O24:O35" si="8">IF($I$6=2,I12,IF($I$6=1,I24,0))</f>
        <v>0</v>
      </c>
      <c r="P24" s="43">
        <f t="shared" ref="P24:P35" si="9">IF($I$6=2,J12,IF($I$6=1,J24,0))</f>
        <v>0</v>
      </c>
      <c r="Q24" s="44">
        <f t="shared" ref="Q24:Q35" si="10">IF($I$6=2,K12,IF($I$6=1,K24,0))</f>
        <v>0</v>
      </c>
    </row>
    <row r="25" spans="1:17" ht="15.75" customHeight="1">
      <c r="A25" s="23">
        <v>14</v>
      </c>
      <c r="B25" s="43">
        <f t="shared" si="1"/>
        <v>0</v>
      </c>
      <c r="C25" s="123">
        <f t="shared" si="5"/>
        <v>0</v>
      </c>
      <c r="D25" s="43">
        <f t="shared" si="6"/>
        <v>0</v>
      </c>
      <c r="E25" s="68">
        <f t="shared" si="7"/>
        <v>0</v>
      </c>
      <c r="F25" s="51"/>
      <c r="G25" s="4195"/>
      <c r="H25" s="22" t="s">
        <v>18</v>
      </c>
      <c r="I25" s="43">
        <f>IF($B$8=12,B25,0)</f>
        <v>0</v>
      </c>
      <c r="J25" s="43">
        <f>IF($B$8=12,C25,0)</f>
        <v>0</v>
      </c>
      <c r="K25" s="68">
        <f>IF($B$8=12,D25,0)</f>
        <v>0</v>
      </c>
      <c r="M25" s="4195"/>
      <c r="N25" s="9" t="s">
        <v>18</v>
      </c>
      <c r="O25" s="43">
        <f t="shared" si="8"/>
        <v>0</v>
      </c>
      <c r="P25" s="43">
        <f t="shared" si="9"/>
        <v>0</v>
      </c>
      <c r="Q25" s="44">
        <f t="shared" si="10"/>
        <v>0</v>
      </c>
    </row>
    <row r="26" spans="1:17" ht="15.75" customHeight="1">
      <c r="A26" s="23">
        <v>15</v>
      </c>
      <c r="B26" s="43">
        <f t="shared" si="1"/>
        <v>0</v>
      </c>
      <c r="C26" s="123">
        <f t="shared" si="5"/>
        <v>0</v>
      </c>
      <c r="D26" s="43">
        <f t="shared" si="6"/>
        <v>0</v>
      </c>
      <c r="E26" s="68">
        <f t="shared" si="7"/>
        <v>0</v>
      </c>
      <c r="F26" s="51"/>
      <c r="G26" s="4195"/>
      <c r="H26" s="22" t="s">
        <v>19</v>
      </c>
      <c r="I26" s="43">
        <f>IF($B$8=12,B26,IF($B$8=6,B19,0))</f>
        <v>0</v>
      </c>
      <c r="J26" s="43">
        <f>IF($B$8=12,C26,IF($B$8=6,C19,0))</f>
        <v>0</v>
      </c>
      <c r="K26" s="68">
        <f>IF($B$8=12,D26,IF($B$8=6,D19,0))</f>
        <v>0</v>
      </c>
      <c r="M26" s="4195"/>
      <c r="N26" s="9" t="s">
        <v>19</v>
      </c>
      <c r="O26" s="43">
        <f t="shared" si="8"/>
        <v>0</v>
      </c>
      <c r="P26" s="43">
        <f t="shared" si="9"/>
        <v>0</v>
      </c>
      <c r="Q26" s="44">
        <f t="shared" si="10"/>
        <v>0</v>
      </c>
    </row>
    <row r="27" spans="1:17" ht="15.75" customHeight="1">
      <c r="A27" s="23">
        <v>16</v>
      </c>
      <c r="B27" s="43">
        <f t="shared" si="1"/>
        <v>0</v>
      </c>
      <c r="C27" s="123">
        <f t="shared" si="5"/>
        <v>0</v>
      </c>
      <c r="D27" s="43">
        <f t="shared" si="6"/>
        <v>0</v>
      </c>
      <c r="E27" s="68">
        <f t="shared" si="7"/>
        <v>0</v>
      </c>
      <c r="F27" s="51"/>
      <c r="G27" s="4195"/>
      <c r="H27" s="22" t="s">
        <v>20</v>
      </c>
      <c r="I27" s="43">
        <f>IF($B$8=12,B27,IF($B$8=4,B17,IF($B$8=6,0,IF($B$8=3,0,0))))</f>
        <v>0</v>
      </c>
      <c r="J27" s="43">
        <f>IF($B$8=12,C27,IF($B$8=4,C17,IF($B$8=6,0,IF($B$8=3,0,0))))</f>
        <v>0</v>
      </c>
      <c r="K27" s="68">
        <f>IF($B$8=12,D27,IF($B$8=4,D17,IF($B$8=6,0,IF($B$8=3,0,0))))</f>
        <v>0</v>
      </c>
      <c r="M27" s="4195"/>
      <c r="N27" s="9" t="s">
        <v>20</v>
      </c>
      <c r="O27" s="43">
        <f t="shared" si="8"/>
        <v>0</v>
      </c>
      <c r="P27" s="43">
        <f t="shared" si="9"/>
        <v>0</v>
      </c>
      <c r="Q27" s="44">
        <f t="shared" si="10"/>
        <v>0</v>
      </c>
    </row>
    <row r="28" spans="1:17" ht="15.75" customHeight="1">
      <c r="A28" s="23">
        <v>17</v>
      </c>
      <c r="B28" s="43">
        <f t="shared" si="1"/>
        <v>0</v>
      </c>
      <c r="C28" s="123">
        <f t="shared" si="5"/>
        <v>0</v>
      </c>
      <c r="D28" s="43">
        <f t="shared" si="6"/>
        <v>0</v>
      </c>
      <c r="E28" s="68">
        <f t="shared" si="7"/>
        <v>0</v>
      </c>
      <c r="F28" s="51"/>
      <c r="G28" s="4195"/>
      <c r="H28" s="22" t="s">
        <v>21</v>
      </c>
      <c r="I28" s="43">
        <f>IF($B$8=12,B28,IF($B$8=4,0,IF($B$8=6,B20,IF($B$8=3,B16,0))))</f>
        <v>0</v>
      </c>
      <c r="J28" s="43">
        <f>IF($B$8=12,C28,IF($B$8=4,0,IF($B$8=6,C20,IF($B$8=3,C16,0))))</f>
        <v>0</v>
      </c>
      <c r="K28" s="68">
        <f>IF($B$8=12,D28,IF($B$8=4,0,IF($B$8=6,D20,IF($B$8=3,D16,0))))</f>
        <v>0</v>
      </c>
      <c r="M28" s="4195"/>
      <c r="N28" s="9" t="s">
        <v>21</v>
      </c>
      <c r="O28" s="43">
        <f t="shared" si="8"/>
        <v>0</v>
      </c>
      <c r="P28" s="43">
        <f t="shared" si="9"/>
        <v>0</v>
      </c>
      <c r="Q28" s="44">
        <f t="shared" si="10"/>
        <v>0</v>
      </c>
    </row>
    <row r="29" spans="1:17" ht="15.75" customHeight="1">
      <c r="A29" s="23">
        <v>18</v>
      </c>
      <c r="B29" s="43">
        <f t="shared" si="1"/>
        <v>0</v>
      </c>
      <c r="C29" s="123">
        <f t="shared" si="5"/>
        <v>0</v>
      </c>
      <c r="D29" s="43">
        <f t="shared" si="6"/>
        <v>0</v>
      </c>
      <c r="E29" s="68">
        <f t="shared" si="7"/>
        <v>0</v>
      </c>
      <c r="F29" s="51"/>
      <c r="G29" s="4195"/>
      <c r="H29" s="22" t="s">
        <v>22</v>
      </c>
      <c r="I29" s="43">
        <f>IF($B$8=12,B29,IF($B$8=4,0,IF($B$8=6,0,IF($B$8=3,0,0))))</f>
        <v>0</v>
      </c>
      <c r="J29" s="43">
        <f>IF($B$8=12,C29,IF($B$8=4,0,IF($B$8=6,0,IF($B$8=3,0,0))))</f>
        <v>0</v>
      </c>
      <c r="K29" s="68">
        <f>IF($B$8=12,D29,IF($B$8=4,0,IF($B$8=6,0,IF($B$8=3,0,0))))</f>
        <v>0</v>
      </c>
      <c r="M29" s="4195"/>
      <c r="N29" s="9" t="s">
        <v>22</v>
      </c>
      <c r="O29" s="43">
        <f t="shared" si="8"/>
        <v>0</v>
      </c>
      <c r="P29" s="43">
        <f t="shared" si="9"/>
        <v>0</v>
      </c>
      <c r="Q29" s="44">
        <f t="shared" si="10"/>
        <v>0</v>
      </c>
    </row>
    <row r="30" spans="1:17" ht="15.75" customHeight="1">
      <c r="A30" s="23">
        <v>19</v>
      </c>
      <c r="B30" s="43">
        <f t="shared" si="1"/>
        <v>0</v>
      </c>
      <c r="C30" s="123">
        <f t="shared" si="5"/>
        <v>0</v>
      </c>
      <c r="D30" s="43">
        <f t="shared" si="6"/>
        <v>0</v>
      </c>
      <c r="E30" s="68">
        <f t="shared" si="7"/>
        <v>0</v>
      </c>
      <c r="F30" s="51"/>
      <c r="G30" s="4195"/>
      <c r="H30" s="22" t="s">
        <v>23</v>
      </c>
      <c r="I30" s="43">
        <f>IF($B$8=12,B30,IF($B$8=4,B18,IF($B$8=6,B21,IF($B$8=3,0,IF($B$8=2,B15,0)))))</f>
        <v>0</v>
      </c>
      <c r="J30" s="43">
        <f>IF($B$8=12,C30,IF($B$8=4,C18,IF($B$8=6,C21,IF($B$8=3,0,IF($B$8=2,C15,0)))))</f>
        <v>0</v>
      </c>
      <c r="K30" s="68">
        <f>IF($B$8=12,D30,IF($B$8=4,D18,IF($B$8=6,D21,IF($B$8=3,0,IF($B$8=2,D15,0)))))</f>
        <v>0</v>
      </c>
      <c r="M30" s="4195"/>
      <c r="N30" s="9" t="s">
        <v>23</v>
      </c>
      <c r="O30" s="43">
        <f t="shared" si="8"/>
        <v>0</v>
      </c>
      <c r="P30" s="43">
        <f t="shared" si="9"/>
        <v>0</v>
      </c>
      <c r="Q30" s="44">
        <f t="shared" si="10"/>
        <v>0</v>
      </c>
    </row>
    <row r="31" spans="1:17" ht="15.75" customHeight="1">
      <c r="A31" s="23">
        <v>20</v>
      </c>
      <c r="B31" s="43">
        <f t="shared" si="1"/>
        <v>0</v>
      </c>
      <c r="C31" s="123">
        <f t="shared" si="5"/>
        <v>0</v>
      </c>
      <c r="D31" s="43">
        <f t="shared" si="6"/>
        <v>0</v>
      </c>
      <c r="E31" s="68">
        <f t="shared" si="7"/>
        <v>0</v>
      </c>
      <c r="F31" s="51"/>
      <c r="G31" s="4195"/>
      <c r="H31" s="22" t="s">
        <v>24</v>
      </c>
      <c r="I31" s="43">
        <f>IF($B$8=12,B31,IF($B$8=4,0,IF($B$8=6,0,IF($B$8=3,0,0))))</f>
        <v>0</v>
      </c>
      <c r="J31" s="43">
        <f>IF($B$8=12,C31,IF($B$8=4,0,IF($B$8=6,0,IF($B$8=3,0,0))))</f>
        <v>0</v>
      </c>
      <c r="K31" s="68">
        <f>IF($B$8=12,D31,IF($B$8=4,0,IF($B$8=6,0,IF($B$8=3,0,0))))</f>
        <v>0</v>
      </c>
      <c r="M31" s="4195"/>
      <c r="N31" s="9" t="s">
        <v>24</v>
      </c>
      <c r="O31" s="43">
        <f t="shared" si="8"/>
        <v>0</v>
      </c>
      <c r="P31" s="43">
        <f t="shared" si="9"/>
        <v>0</v>
      </c>
      <c r="Q31" s="44">
        <f t="shared" si="10"/>
        <v>0</v>
      </c>
    </row>
    <row r="32" spans="1:17" ht="15.75" customHeight="1">
      <c r="A32" s="23">
        <v>21</v>
      </c>
      <c r="B32" s="43">
        <f t="shared" si="1"/>
        <v>0</v>
      </c>
      <c r="C32" s="123">
        <f t="shared" si="5"/>
        <v>0</v>
      </c>
      <c r="D32" s="43">
        <f t="shared" si="6"/>
        <v>0</v>
      </c>
      <c r="E32" s="68">
        <f t="shared" si="7"/>
        <v>0</v>
      </c>
      <c r="F32" s="51"/>
      <c r="G32" s="4195"/>
      <c r="H32" s="22" t="s">
        <v>25</v>
      </c>
      <c r="I32" s="43">
        <f>IF($B$8=12,B32,IF($B$8=4,0,IF($B$8=6,B22,IF($B$8=3,B17,0))))</f>
        <v>0</v>
      </c>
      <c r="J32" s="43">
        <f>IF($B$8=12,C32,IF($B$8=4,0,IF($B$8=6,C22,IF($B$8=3,C17,0))))</f>
        <v>0</v>
      </c>
      <c r="K32" s="68">
        <f>IF($B$8=12,D32,IF($B$8=4,0,IF($B$8=6,D22,IF($B$8=3,D17,0))))</f>
        <v>0</v>
      </c>
      <c r="M32" s="4195"/>
      <c r="N32" s="9" t="s">
        <v>25</v>
      </c>
      <c r="O32" s="43">
        <f t="shared" si="8"/>
        <v>0</v>
      </c>
      <c r="P32" s="43">
        <f t="shared" si="9"/>
        <v>0</v>
      </c>
      <c r="Q32" s="44">
        <f t="shared" si="10"/>
        <v>0</v>
      </c>
    </row>
    <row r="33" spans="1:17" ht="15.75" customHeight="1">
      <c r="A33" s="23">
        <v>22</v>
      </c>
      <c r="B33" s="43">
        <f t="shared" si="1"/>
        <v>0</v>
      </c>
      <c r="C33" s="123">
        <f t="shared" si="5"/>
        <v>0</v>
      </c>
      <c r="D33" s="43">
        <f t="shared" si="6"/>
        <v>0</v>
      </c>
      <c r="E33" s="68">
        <f t="shared" si="7"/>
        <v>0</v>
      </c>
      <c r="F33" s="51"/>
      <c r="G33" s="4195"/>
      <c r="H33" s="22" t="s">
        <v>26</v>
      </c>
      <c r="I33" s="43">
        <f>IF($B$8=12,B33,IF($B$8=4,B19,IF($B$8=6,0,IF($B$8=3,0,0))))</f>
        <v>0</v>
      </c>
      <c r="J33" s="43">
        <f>IF($B$8=12,C33,IF($B$8=4,C19,IF($B$8=6,0,IF($B$8=3,0,0))))</f>
        <v>0</v>
      </c>
      <c r="K33" s="68">
        <f>IF($B$8=12,D33,IF($B$8=4,D19,IF($B$8=6,0,IF($B$8=3,0,0))))</f>
        <v>0</v>
      </c>
      <c r="M33" s="4195"/>
      <c r="N33" s="9" t="s">
        <v>26</v>
      </c>
      <c r="O33" s="43">
        <f t="shared" si="8"/>
        <v>0</v>
      </c>
      <c r="P33" s="43">
        <f t="shared" si="9"/>
        <v>0</v>
      </c>
      <c r="Q33" s="44">
        <f t="shared" si="10"/>
        <v>0</v>
      </c>
    </row>
    <row r="34" spans="1:17" ht="15.75" customHeight="1">
      <c r="A34" s="23">
        <v>23</v>
      </c>
      <c r="B34" s="43">
        <f t="shared" si="1"/>
        <v>0</v>
      </c>
      <c r="C34" s="123">
        <f t="shared" si="5"/>
        <v>0</v>
      </c>
      <c r="D34" s="43">
        <f t="shared" si="6"/>
        <v>0</v>
      </c>
      <c r="E34" s="68">
        <f t="shared" si="7"/>
        <v>0</v>
      </c>
      <c r="F34" s="51"/>
      <c r="G34" s="4195"/>
      <c r="H34" s="22" t="s">
        <v>27</v>
      </c>
      <c r="I34" s="43">
        <f>IF($B$8=12,B34,IF($B$8=4,0,IF($B$8=6,B23,IF($B$8=3,0,0))))</f>
        <v>0</v>
      </c>
      <c r="J34" s="43">
        <f>IF($B$8=12,C34,IF($B$8=4,0,IF($B$8=6,C23,IF($B$8=3,0,0))))</f>
        <v>0</v>
      </c>
      <c r="K34" s="68">
        <f>IF($B$8=12,D34,IF($B$8=4,0,IF($B$8=6,D23,IF($B$8=3,0,0))))</f>
        <v>0</v>
      </c>
      <c r="M34" s="4195"/>
      <c r="N34" s="9" t="s">
        <v>27</v>
      </c>
      <c r="O34" s="43">
        <f t="shared" si="8"/>
        <v>0</v>
      </c>
      <c r="P34" s="43">
        <f t="shared" si="9"/>
        <v>0</v>
      </c>
      <c r="Q34" s="44">
        <f t="shared" si="10"/>
        <v>0</v>
      </c>
    </row>
    <row r="35" spans="1:17" ht="15.75" customHeight="1" thickBot="1">
      <c r="A35" s="24">
        <v>24</v>
      </c>
      <c r="B35" s="70">
        <f t="shared" si="1"/>
        <v>0</v>
      </c>
      <c r="C35" s="139">
        <f t="shared" si="5"/>
        <v>0</v>
      </c>
      <c r="D35" s="70">
        <f t="shared" si="6"/>
        <v>0</v>
      </c>
      <c r="E35" s="75">
        <f t="shared" si="7"/>
        <v>0</v>
      </c>
      <c r="F35" s="243">
        <f>SUM(D24:D35)</f>
        <v>0</v>
      </c>
      <c r="G35" s="4196"/>
      <c r="H35" s="25" t="s">
        <v>28</v>
      </c>
      <c r="I35" s="70">
        <f>IF($B$8=12,B35,IF($B$8=4,0,IF($B$8=6,0,IF($B$8=3,0,0))))</f>
        <v>0</v>
      </c>
      <c r="J35" s="70">
        <f>IF($B$8=12,C35,IF($B$8=4,0,IF($B$8=6,0,IF($B$8=3,0,0))))</f>
        <v>0</v>
      </c>
      <c r="K35" s="72">
        <f>IF($B$8=12,D35,IF($B$8=4,0,IF($B$8=6,0,IF($B$8=3,0,0))))</f>
        <v>0</v>
      </c>
      <c r="M35" s="4196"/>
      <c r="N35" s="35" t="s">
        <v>28</v>
      </c>
      <c r="O35" s="43">
        <f t="shared" si="8"/>
        <v>0</v>
      </c>
      <c r="P35" s="43">
        <f t="shared" si="9"/>
        <v>0</v>
      </c>
      <c r="Q35" s="46">
        <f t="shared" si="10"/>
        <v>0</v>
      </c>
    </row>
    <row r="36" spans="1:17" ht="15.75" customHeight="1">
      <c r="A36" s="23">
        <v>25</v>
      </c>
      <c r="B36" s="43">
        <f t="shared" si="1"/>
        <v>0</v>
      </c>
      <c r="C36" s="123">
        <f t="shared" si="5"/>
        <v>0</v>
      </c>
      <c r="D36" s="43">
        <f t="shared" si="6"/>
        <v>0</v>
      </c>
      <c r="E36" s="68">
        <f t="shared" si="7"/>
        <v>0</v>
      </c>
      <c r="F36" s="51"/>
      <c r="G36" s="4194">
        <f>G24+1</f>
        <v>2</v>
      </c>
      <c r="H36" s="22" t="s">
        <v>17</v>
      </c>
      <c r="I36" s="43">
        <f>IF($B$8=12,B36,IF($B$8=4,B20,IF($B$8=6,B24,IF($B$8=3,B18,IF($B$8=2,B16,IF($B$8=1,B14,0))))))</f>
        <v>0</v>
      </c>
      <c r="J36" s="43">
        <f>IF($B$8=12,C36,IF($B$8=4,C20,IF($B$8=6,C24,IF($B$8=3,C18,IF($B$8=2,C16,IF($B$8=1,C14,0))))))</f>
        <v>0</v>
      </c>
      <c r="K36" s="68">
        <f>IF($B$8=12,D36,IF($B$8=4,D20,IF($B$8=6,D24,IF($B$8=3,D18,IF($B$8=2,D16,IF($B$8=1,D14,0))))))</f>
        <v>0</v>
      </c>
      <c r="M36" s="4194">
        <f>M12+2</f>
        <v>2</v>
      </c>
      <c r="N36" s="9" t="s">
        <v>17</v>
      </c>
      <c r="O36" s="76">
        <f t="shared" ref="O36:O47" si="11">IF($I$6=3,I12,IF($I$6=2,I24,IF($I$6=1,I36,0)))</f>
        <v>0</v>
      </c>
      <c r="P36" s="76">
        <f t="shared" ref="P36:P47" si="12">IF($I$6=3,J12,IF($I$6=2,J24,IF($I$6=1,J36,0)))</f>
        <v>0</v>
      </c>
      <c r="Q36" s="77">
        <f t="shared" ref="Q36:Q47" si="13">IF($I$6=3,K12,IF($I$6=2,K24,IF($I$6=1,K36,0)))</f>
        <v>0</v>
      </c>
    </row>
    <row r="37" spans="1:17" ht="15.75" customHeight="1">
      <c r="A37" s="23">
        <v>26</v>
      </c>
      <c r="B37" s="43">
        <f t="shared" si="1"/>
        <v>0</v>
      </c>
      <c r="C37" s="123">
        <f t="shared" si="5"/>
        <v>0</v>
      </c>
      <c r="D37" s="43">
        <f t="shared" si="6"/>
        <v>0</v>
      </c>
      <c r="E37" s="68">
        <f t="shared" si="7"/>
        <v>0</v>
      </c>
      <c r="F37" s="51"/>
      <c r="G37" s="4195"/>
      <c r="H37" s="22" t="s">
        <v>18</v>
      </c>
      <c r="I37" s="43">
        <f>IF($B$8=12,B37,0)</f>
        <v>0</v>
      </c>
      <c r="J37" s="43">
        <f>IF($B$8=12,C37,0)</f>
        <v>0</v>
      </c>
      <c r="K37" s="68">
        <f>IF($B$8=12,D37,0)</f>
        <v>0</v>
      </c>
      <c r="M37" s="4195"/>
      <c r="N37" s="9" t="s">
        <v>18</v>
      </c>
      <c r="O37" s="43">
        <f t="shared" si="11"/>
        <v>0</v>
      </c>
      <c r="P37" s="43">
        <f t="shared" si="12"/>
        <v>0</v>
      </c>
      <c r="Q37" s="44">
        <f t="shared" si="13"/>
        <v>0</v>
      </c>
    </row>
    <row r="38" spans="1:17" ht="15.75" customHeight="1">
      <c r="A38" s="23">
        <v>27</v>
      </c>
      <c r="B38" s="43">
        <f t="shared" si="1"/>
        <v>0</v>
      </c>
      <c r="C38" s="123">
        <f t="shared" si="5"/>
        <v>0</v>
      </c>
      <c r="D38" s="43">
        <f t="shared" si="6"/>
        <v>0</v>
      </c>
      <c r="E38" s="68">
        <f t="shared" si="7"/>
        <v>0</v>
      </c>
      <c r="F38" s="51"/>
      <c r="G38" s="4195"/>
      <c r="H38" s="22" t="s">
        <v>19</v>
      </c>
      <c r="I38" s="43">
        <f>IF($B$8=12,B38,IF($B$8=6,B25,0))</f>
        <v>0</v>
      </c>
      <c r="J38" s="43">
        <f>IF($B$8=12,C38,IF($B$8=6,C25,0))</f>
        <v>0</v>
      </c>
      <c r="K38" s="68">
        <f>IF($B$8=12,D38,IF($B$8=6,D25,0))</f>
        <v>0</v>
      </c>
      <c r="M38" s="4195"/>
      <c r="N38" s="9" t="s">
        <v>19</v>
      </c>
      <c r="O38" s="43">
        <f t="shared" si="11"/>
        <v>0</v>
      </c>
      <c r="P38" s="43">
        <f t="shared" si="12"/>
        <v>0</v>
      </c>
      <c r="Q38" s="44">
        <f t="shared" si="13"/>
        <v>0</v>
      </c>
    </row>
    <row r="39" spans="1:17" ht="15.75" customHeight="1">
      <c r="A39" s="23">
        <v>28</v>
      </c>
      <c r="B39" s="43">
        <f t="shared" si="1"/>
        <v>0</v>
      </c>
      <c r="C39" s="123">
        <f t="shared" si="5"/>
        <v>0</v>
      </c>
      <c r="D39" s="43">
        <f t="shared" si="6"/>
        <v>0</v>
      </c>
      <c r="E39" s="68">
        <f t="shared" si="7"/>
        <v>0</v>
      </c>
      <c r="F39" s="51"/>
      <c r="G39" s="4195"/>
      <c r="H39" s="22" t="s">
        <v>20</v>
      </c>
      <c r="I39" s="43">
        <f>IF($B$8=12,B39,IF($B$8=4,B21,IF($B$8=6,0,IF($B$8=3,0,0))))</f>
        <v>0</v>
      </c>
      <c r="J39" s="43">
        <f>IF($B$8=12,C39,IF($B$8=4,C21,IF($B$8=6,0,IF($B$8=3,0,0))))</f>
        <v>0</v>
      </c>
      <c r="K39" s="68">
        <f>IF($B$8=12,D39,IF($B$8=4,D21,IF($B$8=6,0,IF($B$8=3,0,0))))</f>
        <v>0</v>
      </c>
      <c r="M39" s="4195"/>
      <c r="N39" s="9" t="s">
        <v>20</v>
      </c>
      <c r="O39" s="43">
        <f t="shared" si="11"/>
        <v>0</v>
      </c>
      <c r="P39" s="43">
        <f t="shared" si="12"/>
        <v>0</v>
      </c>
      <c r="Q39" s="44">
        <f t="shared" si="13"/>
        <v>0</v>
      </c>
    </row>
    <row r="40" spans="1:17" ht="15.75" customHeight="1">
      <c r="A40" s="23">
        <v>29</v>
      </c>
      <c r="B40" s="43">
        <f t="shared" si="1"/>
        <v>0</v>
      </c>
      <c r="C40" s="123">
        <f t="shared" si="5"/>
        <v>0</v>
      </c>
      <c r="D40" s="43">
        <f t="shared" si="6"/>
        <v>0</v>
      </c>
      <c r="E40" s="68">
        <f t="shared" si="7"/>
        <v>0</v>
      </c>
      <c r="F40" s="51"/>
      <c r="G40" s="4195"/>
      <c r="H40" s="22" t="s">
        <v>21</v>
      </c>
      <c r="I40" s="43">
        <f>IF($B$8=12,B40,IF($B$8=4,0,IF($B$8=6,B26,IF($B$8=3,B19,0))))</f>
        <v>0</v>
      </c>
      <c r="J40" s="43">
        <f>IF($B$8=12,C40,IF($B$8=4,0,IF($B$8=6,C26,IF($B$8=3,C19,0))))</f>
        <v>0</v>
      </c>
      <c r="K40" s="68">
        <f>IF($B$8=12,D40,IF($B$8=4,0,IF($B$8=6,D26,IF($B$8=3,D19,0))))</f>
        <v>0</v>
      </c>
      <c r="M40" s="4195"/>
      <c r="N40" s="9" t="s">
        <v>21</v>
      </c>
      <c r="O40" s="43">
        <f t="shared" si="11"/>
        <v>0</v>
      </c>
      <c r="P40" s="43">
        <f t="shared" si="12"/>
        <v>0</v>
      </c>
      <c r="Q40" s="44">
        <f t="shared" si="13"/>
        <v>0</v>
      </c>
    </row>
    <row r="41" spans="1:17" ht="15.75" customHeight="1">
      <c r="A41" s="23">
        <v>30</v>
      </c>
      <c r="B41" s="43">
        <f t="shared" si="1"/>
        <v>0</v>
      </c>
      <c r="C41" s="123">
        <f t="shared" si="5"/>
        <v>0</v>
      </c>
      <c r="D41" s="43">
        <f t="shared" si="6"/>
        <v>0</v>
      </c>
      <c r="E41" s="68">
        <f t="shared" si="7"/>
        <v>0</v>
      </c>
      <c r="F41" s="51"/>
      <c r="G41" s="4195"/>
      <c r="H41" s="22" t="s">
        <v>22</v>
      </c>
      <c r="I41" s="43">
        <f>IF($B$8=12,B41,IF($B$8=4,0,IF($B$8=6,0,IF($B$8=3,0,0))))</f>
        <v>0</v>
      </c>
      <c r="J41" s="43">
        <f>IF($B$8=12,C41,IF($B$8=4,0,IF($B$8=6,0,IF($B$8=3,0,0))))</f>
        <v>0</v>
      </c>
      <c r="K41" s="68">
        <f>IF($B$8=12,D41,IF($B$8=4,0,IF($B$8=6,0,IF($B$8=3,0,0))))</f>
        <v>0</v>
      </c>
      <c r="M41" s="4195"/>
      <c r="N41" s="9" t="s">
        <v>22</v>
      </c>
      <c r="O41" s="43">
        <f t="shared" si="11"/>
        <v>0</v>
      </c>
      <c r="P41" s="43">
        <f t="shared" si="12"/>
        <v>0</v>
      </c>
      <c r="Q41" s="44">
        <f t="shared" si="13"/>
        <v>0</v>
      </c>
    </row>
    <row r="42" spans="1:17" ht="15.75" customHeight="1">
      <c r="A42" s="23">
        <v>31</v>
      </c>
      <c r="B42" s="43">
        <f t="shared" si="1"/>
        <v>0</v>
      </c>
      <c r="C42" s="123">
        <f t="shared" si="5"/>
        <v>0</v>
      </c>
      <c r="D42" s="43">
        <f t="shared" si="6"/>
        <v>0</v>
      </c>
      <c r="E42" s="68">
        <f t="shared" si="7"/>
        <v>0</v>
      </c>
      <c r="F42" s="51"/>
      <c r="G42" s="4195"/>
      <c r="H42" s="22" t="s">
        <v>23</v>
      </c>
      <c r="I42" s="43">
        <f>IF($B$8=12,B42,IF($B$8=4,B22,IF($B$8=6,B27,IF($B$8=3,0,IF($B$8=2,B17,0)))))</f>
        <v>0</v>
      </c>
      <c r="J42" s="43">
        <f>IF($B$8=12,C42,IF($B$8=4,C22,IF($B$8=6,C27,IF($B$8=3,0,IF($B$8=2,C17,0)))))</f>
        <v>0</v>
      </c>
      <c r="K42" s="68">
        <f>IF($B$8=12,D42,IF($B$8=4,D22,IF($B$8=6,D27,IF($B$8=3,0,IF($B$8=2,D17,0)))))</f>
        <v>0</v>
      </c>
      <c r="M42" s="4195"/>
      <c r="N42" s="9" t="s">
        <v>23</v>
      </c>
      <c r="O42" s="43">
        <f t="shared" si="11"/>
        <v>0</v>
      </c>
      <c r="P42" s="43">
        <f t="shared" si="12"/>
        <v>0</v>
      </c>
      <c r="Q42" s="44">
        <f t="shared" si="13"/>
        <v>0</v>
      </c>
    </row>
    <row r="43" spans="1:17" ht="15.75" customHeight="1">
      <c r="A43" s="23">
        <v>32</v>
      </c>
      <c r="B43" s="43">
        <f t="shared" si="1"/>
        <v>0</v>
      </c>
      <c r="C43" s="123">
        <f t="shared" si="5"/>
        <v>0</v>
      </c>
      <c r="D43" s="43">
        <f t="shared" si="6"/>
        <v>0</v>
      </c>
      <c r="E43" s="68">
        <f t="shared" si="7"/>
        <v>0</v>
      </c>
      <c r="F43" s="51"/>
      <c r="G43" s="4195"/>
      <c r="H43" s="22" t="s">
        <v>24</v>
      </c>
      <c r="I43" s="43">
        <f>IF($B$8=12,B43,IF($B$8=4,0,IF($B$8=6,0,IF($B$8=3,0,0))))</f>
        <v>0</v>
      </c>
      <c r="J43" s="43">
        <f>IF($B$8=12,C43,IF($B$8=4,0,IF($B$8=6,0,IF($B$8=3,0,0))))</f>
        <v>0</v>
      </c>
      <c r="K43" s="68">
        <f>IF($B$8=12,D43,IF($B$8=4,0,IF($B$8=6,0,IF($B$8=3,0,0))))</f>
        <v>0</v>
      </c>
      <c r="M43" s="4195"/>
      <c r="N43" s="9" t="s">
        <v>24</v>
      </c>
      <c r="O43" s="43">
        <f t="shared" si="11"/>
        <v>0</v>
      </c>
      <c r="P43" s="43">
        <f t="shared" si="12"/>
        <v>0</v>
      </c>
      <c r="Q43" s="44">
        <f t="shared" si="13"/>
        <v>0</v>
      </c>
    </row>
    <row r="44" spans="1:17" ht="15.75" customHeight="1">
      <c r="A44" s="23">
        <v>33</v>
      </c>
      <c r="B44" s="43">
        <f t="shared" ref="B44:B71" si="14">IF(A44&gt;$I$9,IF(E43&gt;1,PMT($B$6/$B$8,$B$7*$B$8,-$B$5),0),0)</f>
        <v>0</v>
      </c>
      <c r="C44" s="123">
        <f t="shared" si="5"/>
        <v>0</v>
      </c>
      <c r="D44" s="43">
        <f t="shared" si="6"/>
        <v>0</v>
      </c>
      <c r="E44" s="68">
        <f t="shared" si="7"/>
        <v>0</v>
      </c>
      <c r="F44" s="51"/>
      <c r="G44" s="4195"/>
      <c r="H44" s="22" t="s">
        <v>25</v>
      </c>
      <c r="I44" s="43">
        <f>IF($B$8=12,B44,IF($B$8=4,0,IF($B$8=6,B28,IF($B$8=3,B20,0))))</f>
        <v>0</v>
      </c>
      <c r="J44" s="43">
        <f>IF($B$8=12,C44,IF($B$8=4,0,IF($B$8=6,C28,IF($B$8=3,C20,0))))</f>
        <v>0</v>
      </c>
      <c r="K44" s="68">
        <f>IF($B$8=12,D44,IF($B$8=4,0,IF($B$8=6,D28,IF($B$8=3,D20,0))))</f>
        <v>0</v>
      </c>
      <c r="M44" s="4195"/>
      <c r="N44" s="9" t="s">
        <v>25</v>
      </c>
      <c r="O44" s="43">
        <f t="shared" si="11"/>
        <v>0</v>
      </c>
      <c r="P44" s="43">
        <f t="shared" si="12"/>
        <v>0</v>
      </c>
      <c r="Q44" s="44">
        <f t="shared" si="13"/>
        <v>0</v>
      </c>
    </row>
    <row r="45" spans="1:17" ht="15.75" customHeight="1">
      <c r="A45" s="23">
        <v>34</v>
      </c>
      <c r="B45" s="43">
        <f t="shared" si="14"/>
        <v>0</v>
      </c>
      <c r="C45" s="123">
        <f t="shared" si="5"/>
        <v>0</v>
      </c>
      <c r="D45" s="43">
        <f t="shared" ref="D45:D71" si="15">IF(A45&gt;$I$9,B45-(E44*($B$6/$B$8)),0)</f>
        <v>0</v>
      </c>
      <c r="E45" s="68">
        <f t="shared" ref="E45:E71" si="16">IF((E44-D45)&gt;0,E44-D45,0)</f>
        <v>0</v>
      </c>
      <c r="F45" s="51"/>
      <c r="G45" s="4195"/>
      <c r="H45" s="22" t="s">
        <v>26</v>
      </c>
      <c r="I45" s="43">
        <f>IF($B$8=12,B45,IF($B$8=4,B23,IF($B$8=6,0,IF($B$8=3,0,0))))</f>
        <v>0</v>
      </c>
      <c r="J45" s="43">
        <f>IF($B$8=12,C45,IF($B$8=4,C23,IF($B$8=6,0,IF($B$8=3,0,0))))</f>
        <v>0</v>
      </c>
      <c r="K45" s="68">
        <f>IF($B$8=12,D45,IF($B$8=4,D23,IF($B$8=6,0,IF($B$8=3,0,0))))</f>
        <v>0</v>
      </c>
      <c r="M45" s="4195"/>
      <c r="N45" s="9" t="s">
        <v>26</v>
      </c>
      <c r="O45" s="43">
        <f t="shared" si="11"/>
        <v>0</v>
      </c>
      <c r="P45" s="43">
        <f t="shared" si="12"/>
        <v>0</v>
      </c>
      <c r="Q45" s="44">
        <f t="shared" si="13"/>
        <v>0</v>
      </c>
    </row>
    <row r="46" spans="1:17" ht="15.75" customHeight="1">
      <c r="A46" s="23">
        <v>35</v>
      </c>
      <c r="B46" s="43">
        <f t="shared" si="14"/>
        <v>0</v>
      </c>
      <c r="C46" s="123">
        <f t="shared" si="5"/>
        <v>0</v>
      </c>
      <c r="D46" s="43">
        <f t="shared" si="15"/>
        <v>0</v>
      </c>
      <c r="E46" s="68">
        <f t="shared" si="16"/>
        <v>0</v>
      </c>
      <c r="F46" s="51"/>
      <c r="G46" s="4195"/>
      <c r="H46" s="22" t="s">
        <v>27</v>
      </c>
      <c r="I46" s="43">
        <f>IF($B$8=12,B46,IF($B$8=4,0,IF($B$8=6,B29,IF($B$8=3,0,0))))</f>
        <v>0</v>
      </c>
      <c r="J46" s="43">
        <f>IF($B$8=12,C46,IF($B$8=4,0,IF($B$8=6,C29,IF($B$8=3,0,0))))</f>
        <v>0</v>
      </c>
      <c r="K46" s="68">
        <f>IF($B$8=12,D46,IF($B$8=4,0,IF($B$8=6,D29,IF($B$8=3,0,0))))</f>
        <v>0</v>
      </c>
      <c r="M46" s="4195"/>
      <c r="N46" s="9" t="s">
        <v>27</v>
      </c>
      <c r="O46" s="43">
        <f t="shared" si="11"/>
        <v>0</v>
      </c>
      <c r="P46" s="43">
        <f t="shared" si="12"/>
        <v>0</v>
      </c>
      <c r="Q46" s="44">
        <f t="shared" si="13"/>
        <v>0</v>
      </c>
    </row>
    <row r="47" spans="1:17" ht="15.75" customHeight="1" thickBot="1">
      <c r="A47" s="24">
        <v>36</v>
      </c>
      <c r="B47" s="70">
        <f t="shared" si="14"/>
        <v>0</v>
      </c>
      <c r="C47" s="139">
        <f t="shared" si="5"/>
        <v>0</v>
      </c>
      <c r="D47" s="70">
        <f t="shared" si="15"/>
        <v>0</v>
      </c>
      <c r="E47" s="75">
        <f t="shared" si="16"/>
        <v>0</v>
      </c>
      <c r="F47" s="243">
        <f>SUM(D36:D47)</f>
        <v>0</v>
      </c>
      <c r="G47" s="4196"/>
      <c r="H47" s="25" t="s">
        <v>28</v>
      </c>
      <c r="I47" s="70">
        <f>IF($B$8=12,B47,IF($B$8=4,0,IF($B$8=6,0,IF($B$8=3,0,0))))</f>
        <v>0</v>
      </c>
      <c r="J47" s="70">
        <f>IF($B$8=12,C47,IF($B$8=4,0,IF($B$8=6,0,IF($B$8=3,0,0))))</f>
        <v>0</v>
      </c>
      <c r="K47" s="72">
        <f>IF($B$8=12,D47,IF($B$8=4,0,IF($B$8=6,0,IF($B$8=3,0,0))))</f>
        <v>0</v>
      </c>
      <c r="M47" s="4196"/>
      <c r="N47" s="35" t="s">
        <v>28</v>
      </c>
      <c r="O47" s="45">
        <f t="shared" si="11"/>
        <v>0</v>
      </c>
      <c r="P47" s="45">
        <f t="shared" si="12"/>
        <v>0</v>
      </c>
      <c r="Q47" s="46">
        <f t="shared" si="13"/>
        <v>0</v>
      </c>
    </row>
    <row r="48" spans="1:17" ht="15.75" customHeight="1">
      <c r="A48" s="23">
        <v>37</v>
      </c>
      <c r="B48" s="43">
        <f t="shared" si="14"/>
        <v>0</v>
      </c>
      <c r="C48" s="123">
        <f t="shared" si="5"/>
        <v>0</v>
      </c>
      <c r="D48" s="43">
        <f t="shared" si="15"/>
        <v>0</v>
      </c>
      <c r="E48" s="68">
        <f t="shared" si="16"/>
        <v>0</v>
      </c>
      <c r="F48" s="51"/>
      <c r="G48" s="4194">
        <f>G36+1</f>
        <v>3</v>
      </c>
      <c r="H48" s="22" t="s">
        <v>17</v>
      </c>
      <c r="I48" s="43">
        <f>IF($B$8=12,B48,IF($B$8=4,B24,IF($B$8=6,B30,IF($B$8=3,B21,IF($B$8=2,B18,IF($B$8=1,B15,0))))))</f>
        <v>0</v>
      </c>
      <c r="J48" s="43">
        <f>IF($B$8=12,C48,IF($B$8=4,C24,IF($B$8=6,C30,IF($B$8=3,C21,IF($B$8=2,C18,IF($B$8=1,C15,0))))))</f>
        <v>0</v>
      </c>
      <c r="K48" s="68">
        <f>IF($B$8=12,D48,IF($B$8=4,D24,IF($B$8=6,D30,IF($B$8=3,D21,IF($B$8=2,D18,IF($B$8=1,D15,0))))))</f>
        <v>0</v>
      </c>
      <c r="M48" s="4194">
        <f>M12+3</f>
        <v>3</v>
      </c>
      <c r="N48" s="9" t="s">
        <v>17</v>
      </c>
      <c r="O48" s="76">
        <f t="shared" ref="O48:O59" si="17">IF($I$6=4,I12,IF($I$6=3,I24,IF($I$6=2,I36,IF($I$6=1,I48,0))))</f>
        <v>0</v>
      </c>
      <c r="P48" s="76">
        <f t="shared" ref="P48:P59" si="18">IF($I$6=4,J12,IF($I$6=3,J24,IF($I$6=2,J36,IF($I$6=1,J48,0))))</f>
        <v>0</v>
      </c>
      <c r="Q48" s="77">
        <f t="shared" ref="Q48:Q59" si="19">IF($I$6=4,K12,IF($I$6=3,K24,IF($I$6=2,K36,IF($I$6=1,K48,0))))</f>
        <v>0</v>
      </c>
    </row>
    <row r="49" spans="1:17" ht="15.75" customHeight="1">
      <c r="A49" s="23">
        <v>38</v>
      </c>
      <c r="B49" s="43">
        <f t="shared" si="14"/>
        <v>0</v>
      </c>
      <c r="C49" s="123">
        <f t="shared" si="5"/>
        <v>0</v>
      </c>
      <c r="D49" s="43">
        <f t="shared" si="15"/>
        <v>0</v>
      </c>
      <c r="E49" s="68">
        <f t="shared" si="16"/>
        <v>0</v>
      </c>
      <c r="F49" s="51"/>
      <c r="G49" s="4195"/>
      <c r="H49" s="22" t="s">
        <v>18</v>
      </c>
      <c r="I49" s="43">
        <f>IF($B$8=12,B49,0)</f>
        <v>0</v>
      </c>
      <c r="J49" s="43">
        <f>IF($B$8=12,C49,0)</f>
        <v>0</v>
      </c>
      <c r="K49" s="68">
        <f>IF($B$8=12,D49,0)</f>
        <v>0</v>
      </c>
      <c r="M49" s="4195"/>
      <c r="N49" s="9" t="s">
        <v>18</v>
      </c>
      <c r="O49" s="43">
        <f t="shared" si="17"/>
        <v>0</v>
      </c>
      <c r="P49" s="43">
        <f t="shared" si="18"/>
        <v>0</v>
      </c>
      <c r="Q49" s="44">
        <f t="shared" si="19"/>
        <v>0</v>
      </c>
    </row>
    <row r="50" spans="1:17" ht="15.75" customHeight="1">
      <c r="A50" s="23">
        <v>39</v>
      </c>
      <c r="B50" s="43">
        <f t="shared" si="14"/>
        <v>0</v>
      </c>
      <c r="C50" s="123">
        <f t="shared" si="5"/>
        <v>0</v>
      </c>
      <c r="D50" s="43">
        <f t="shared" si="15"/>
        <v>0</v>
      </c>
      <c r="E50" s="68">
        <f t="shared" si="16"/>
        <v>0</v>
      </c>
      <c r="F50" s="51"/>
      <c r="G50" s="4195"/>
      <c r="H50" s="22" t="s">
        <v>19</v>
      </c>
      <c r="I50" s="43">
        <f>IF($B$8=12,B50,IF($B$8=6,B31,0))</f>
        <v>0</v>
      </c>
      <c r="J50" s="43">
        <f>IF($B$8=12,C50,IF($B$8=6,C31,0))</f>
        <v>0</v>
      </c>
      <c r="K50" s="68">
        <f>IF($B$8=12,D50,IF($B$8=6,D31,0))</f>
        <v>0</v>
      </c>
      <c r="M50" s="4195"/>
      <c r="N50" s="9" t="s">
        <v>19</v>
      </c>
      <c r="O50" s="43">
        <f t="shared" si="17"/>
        <v>0</v>
      </c>
      <c r="P50" s="43">
        <f t="shared" si="18"/>
        <v>0</v>
      </c>
      <c r="Q50" s="44">
        <f t="shared" si="19"/>
        <v>0</v>
      </c>
    </row>
    <row r="51" spans="1:17" ht="15.75" customHeight="1">
      <c r="A51" s="23">
        <v>40</v>
      </c>
      <c r="B51" s="43">
        <f t="shared" si="14"/>
        <v>0</v>
      </c>
      <c r="C51" s="123">
        <f t="shared" si="5"/>
        <v>0</v>
      </c>
      <c r="D51" s="43">
        <f t="shared" si="15"/>
        <v>0</v>
      </c>
      <c r="E51" s="68">
        <f t="shared" si="16"/>
        <v>0</v>
      </c>
      <c r="F51" s="51"/>
      <c r="G51" s="4195"/>
      <c r="H51" s="22" t="s">
        <v>20</v>
      </c>
      <c r="I51" s="43">
        <f>IF($B$8=12,B51,IF($B$8=4,B25,IF($B$8=6,0,IF($B$8=3,0,0))))</f>
        <v>0</v>
      </c>
      <c r="J51" s="43">
        <f>IF($B$8=12,C51,IF($B$8=4,C25,IF($B$8=6,0,IF($B$8=3,0,0))))</f>
        <v>0</v>
      </c>
      <c r="K51" s="68">
        <f>IF($B$8=12,D51,IF($B$8=4,D25,IF($B$8=6,0,IF($B$8=3,0,0))))</f>
        <v>0</v>
      </c>
      <c r="M51" s="4195"/>
      <c r="N51" s="9" t="s">
        <v>20</v>
      </c>
      <c r="O51" s="43">
        <f t="shared" si="17"/>
        <v>0</v>
      </c>
      <c r="P51" s="43">
        <f t="shared" si="18"/>
        <v>0</v>
      </c>
      <c r="Q51" s="44">
        <f t="shared" si="19"/>
        <v>0</v>
      </c>
    </row>
    <row r="52" spans="1:17" ht="15.75" customHeight="1">
      <c r="A52" s="23">
        <v>41</v>
      </c>
      <c r="B52" s="43">
        <f t="shared" si="14"/>
        <v>0</v>
      </c>
      <c r="C52" s="123">
        <f t="shared" si="5"/>
        <v>0</v>
      </c>
      <c r="D52" s="43">
        <f t="shared" si="15"/>
        <v>0</v>
      </c>
      <c r="E52" s="68">
        <f t="shared" si="16"/>
        <v>0</v>
      </c>
      <c r="F52" s="51"/>
      <c r="G52" s="4195"/>
      <c r="H52" s="22" t="s">
        <v>21</v>
      </c>
      <c r="I52" s="43">
        <f>IF($B$8=12,B52,IF($B$8=4,0,IF($B$8=6,B32,IF($B$8=3,B22,0))))</f>
        <v>0</v>
      </c>
      <c r="J52" s="43">
        <f>IF($B$8=12,C52,IF($B$8=4,0,IF($B$8=6,C32,IF($B$8=3,C22,0))))</f>
        <v>0</v>
      </c>
      <c r="K52" s="68">
        <f>IF($B$8=12,D52,IF($B$8=4,0,IF($B$8=6,D32,IF($B$8=3,D22,0))))</f>
        <v>0</v>
      </c>
      <c r="M52" s="4195"/>
      <c r="N52" s="9" t="s">
        <v>21</v>
      </c>
      <c r="O52" s="43">
        <f t="shared" si="17"/>
        <v>0</v>
      </c>
      <c r="P52" s="43">
        <f t="shared" si="18"/>
        <v>0</v>
      </c>
      <c r="Q52" s="44">
        <f t="shared" si="19"/>
        <v>0</v>
      </c>
    </row>
    <row r="53" spans="1:17" ht="15.75" customHeight="1">
      <c r="A53" s="23">
        <v>42</v>
      </c>
      <c r="B53" s="43">
        <f t="shared" si="14"/>
        <v>0</v>
      </c>
      <c r="C53" s="123">
        <f t="shared" si="5"/>
        <v>0</v>
      </c>
      <c r="D53" s="43">
        <f t="shared" si="15"/>
        <v>0</v>
      </c>
      <c r="E53" s="68">
        <f t="shared" si="16"/>
        <v>0</v>
      </c>
      <c r="F53" s="51"/>
      <c r="G53" s="4195"/>
      <c r="H53" s="22" t="s">
        <v>22</v>
      </c>
      <c r="I53" s="43">
        <f>IF($B$8=12,B53,IF($B$8=4,0,IF($B$8=6,0,IF($B$8=3,0,0))))</f>
        <v>0</v>
      </c>
      <c r="J53" s="43">
        <f>IF($B$8=12,C53,IF($B$8=4,0,IF($B$8=6,0,IF($B$8=3,0,0))))</f>
        <v>0</v>
      </c>
      <c r="K53" s="68">
        <f>IF($B$8=12,D53,IF($B$8=4,0,IF($B$8=6,0,IF($B$8=3,0,0))))</f>
        <v>0</v>
      </c>
      <c r="M53" s="4195"/>
      <c r="N53" s="9" t="s">
        <v>22</v>
      </c>
      <c r="O53" s="43">
        <f t="shared" si="17"/>
        <v>0</v>
      </c>
      <c r="P53" s="43">
        <f t="shared" si="18"/>
        <v>0</v>
      </c>
      <c r="Q53" s="44">
        <f t="shared" si="19"/>
        <v>0</v>
      </c>
    </row>
    <row r="54" spans="1:17" ht="15.75" customHeight="1">
      <c r="A54" s="23">
        <v>43</v>
      </c>
      <c r="B54" s="43">
        <f t="shared" si="14"/>
        <v>0</v>
      </c>
      <c r="C54" s="123">
        <f t="shared" si="5"/>
        <v>0</v>
      </c>
      <c r="D54" s="43">
        <f t="shared" si="15"/>
        <v>0</v>
      </c>
      <c r="E54" s="68">
        <f t="shared" si="16"/>
        <v>0</v>
      </c>
      <c r="F54" s="51"/>
      <c r="G54" s="4195"/>
      <c r="H54" s="22" t="s">
        <v>23</v>
      </c>
      <c r="I54" s="43">
        <f>IF($B$8=12,B54,IF($B$8=4,B26,IF($B$8=6,B33,IF($B$8=3,0,IF($B$8=2,B19,0)))))</f>
        <v>0</v>
      </c>
      <c r="J54" s="43">
        <f>IF($B$8=12,C54,IF($B$8=4,C26,IF($B$8=6,C33,IF($B$8=3,0,IF($B$8=2,C19,0)))))</f>
        <v>0</v>
      </c>
      <c r="K54" s="68">
        <f>IF($B$8=12,D54,IF($B$8=4,D26,IF($B$8=6,D33,IF($B$8=3,0,IF($B$8=2,D19,0)))))</f>
        <v>0</v>
      </c>
      <c r="M54" s="4195"/>
      <c r="N54" s="9" t="s">
        <v>23</v>
      </c>
      <c r="O54" s="43">
        <f t="shared" si="17"/>
        <v>0</v>
      </c>
      <c r="P54" s="43">
        <f t="shared" si="18"/>
        <v>0</v>
      </c>
      <c r="Q54" s="44">
        <f t="shared" si="19"/>
        <v>0</v>
      </c>
    </row>
    <row r="55" spans="1:17" ht="15.75" customHeight="1">
      <c r="A55" s="23">
        <v>44</v>
      </c>
      <c r="B55" s="43">
        <f t="shared" si="14"/>
        <v>0</v>
      </c>
      <c r="C55" s="123">
        <f t="shared" si="5"/>
        <v>0</v>
      </c>
      <c r="D55" s="43">
        <f t="shared" si="15"/>
        <v>0</v>
      </c>
      <c r="E55" s="68">
        <f t="shared" si="16"/>
        <v>0</v>
      </c>
      <c r="F55" s="51"/>
      <c r="G55" s="4195"/>
      <c r="H55" s="22" t="s">
        <v>24</v>
      </c>
      <c r="I55" s="43">
        <f>IF($B$8=12,B55,IF($B$8=4,0,IF($B$8=6,0,IF($B$8=3,0,0))))</f>
        <v>0</v>
      </c>
      <c r="J55" s="43">
        <f>IF($B$8=12,C55,IF($B$8=4,0,IF($B$8=6,0,IF($B$8=3,0,0))))</f>
        <v>0</v>
      </c>
      <c r="K55" s="68">
        <f>IF($B$8=12,D55,IF($B$8=4,0,IF($B$8=6,0,IF($B$8=3,0,0))))</f>
        <v>0</v>
      </c>
      <c r="M55" s="4195"/>
      <c r="N55" s="9" t="s">
        <v>24</v>
      </c>
      <c r="O55" s="43">
        <f t="shared" si="17"/>
        <v>0</v>
      </c>
      <c r="P55" s="43">
        <f t="shared" si="18"/>
        <v>0</v>
      </c>
      <c r="Q55" s="44">
        <f t="shared" si="19"/>
        <v>0</v>
      </c>
    </row>
    <row r="56" spans="1:17" ht="15.75" customHeight="1">
      <c r="A56" s="23">
        <v>45</v>
      </c>
      <c r="B56" s="43">
        <f t="shared" si="14"/>
        <v>0</v>
      </c>
      <c r="C56" s="123">
        <f t="shared" si="5"/>
        <v>0</v>
      </c>
      <c r="D56" s="43">
        <f t="shared" si="15"/>
        <v>0</v>
      </c>
      <c r="E56" s="68">
        <f t="shared" si="16"/>
        <v>0</v>
      </c>
      <c r="F56" s="51"/>
      <c r="G56" s="4195"/>
      <c r="H56" s="22" t="s">
        <v>25</v>
      </c>
      <c r="I56" s="43">
        <f>IF($B$8=12,B56,IF($B$8=4,0,IF($B$8=6,B34,IF($B$8=3,B23,0))))</f>
        <v>0</v>
      </c>
      <c r="J56" s="43">
        <f>IF($B$8=12,C56,IF($B$8=4,0,IF($B$8=6,C34,IF($B$8=3,C23,0))))</f>
        <v>0</v>
      </c>
      <c r="K56" s="68">
        <f>IF($B$8=12,D56,IF($B$8=4,0,IF($B$8=6,D34,IF($B$8=3,D23,0))))</f>
        <v>0</v>
      </c>
      <c r="M56" s="4195"/>
      <c r="N56" s="9" t="s">
        <v>25</v>
      </c>
      <c r="O56" s="43">
        <f t="shared" si="17"/>
        <v>0</v>
      </c>
      <c r="P56" s="43">
        <f t="shared" si="18"/>
        <v>0</v>
      </c>
      <c r="Q56" s="44">
        <f t="shared" si="19"/>
        <v>0</v>
      </c>
    </row>
    <row r="57" spans="1:17" ht="15.75" customHeight="1">
      <c r="A57" s="23">
        <v>46</v>
      </c>
      <c r="B57" s="43">
        <f t="shared" si="14"/>
        <v>0</v>
      </c>
      <c r="C57" s="123">
        <f t="shared" si="5"/>
        <v>0</v>
      </c>
      <c r="D57" s="43">
        <f t="shared" si="15"/>
        <v>0</v>
      </c>
      <c r="E57" s="68">
        <f t="shared" si="16"/>
        <v>0</v>
      </c>
      <c r="F57" s="51"/>
      <c r="G57" s="4195"/>
      <c r="H57" s="22" t="s">
        <v>26</v>
      </c>
      <c r="I57" s="43">
        <f>IF($B$8=12,B57,IF($B$8=4,B27,IF($B$8=6,0,IF($B$8=3,0,0))))</f>
        <v>0</v>
      </c>
      <c r="J57" s="43">
        <f>IF($B$8=12,C57,IF($B$8=4,C27,IF($B$8=6,0,IF($B$8=3,0,0))))</f>
        <v>0</v>
      </c>
      <c r="K57" s="68">
        <f>IF($B$8=12,D57,IF($B$8=4,D27,IF($B$8=6,0,IF($B$8=3,0,0))))</f>
        <v>0</v>
      </c>
      <c r="M57" s="4195"/>
      <c r="N57" s="9" t="s">
        <v>26</v>
      </c>
      <c r="O57" s="43">
        <f t="shared" si="17"/>
        <v>0</v>
      </c>
      <c r="P57" s="43">
        <f t="shared" si="18"/>
        <v>0</v>
      </c>
      <c r="Q57" s="44">
        <f t="shared" si="19"/>
        <v>0</v>
      </c>
    </row>
    <row r="58" spans="1:17" ht="15.75" customHeight="1">
      <c r="A58" s="23">
        <v>47</v>
      </c>
      <c r="B58" s="43">
        <f t="shared" si="14"/>
        <v>0</v>
      </c>
      <c r="C58" s="123">
        <f t="shared" si="5"/>
        <v>0</v>
      </c>
      <c r="D58" s="43">
        <f t="shared" si="15"/>
        <v>0</v>
      </c>
      <c r="E58" s="68">
        <f t="shared" si="16"/>
        <v>0</v>
      </c>
      <c r="F58" s="51"/>
      <c r="G58" s="4195"/>
      <c r="H58" s="22" t="s">
        <v>27</v>
      </c>
      <c r="I58" s="43">
        <f>IF($B$8=12,B58,IF($B$8=4,0,IF($B$8=6,B35,IF($B$8=3,0,0))))</f>
        <v>0</v>
      </c>
      <c r="J58" s="43">
        <f>IF($B$8=12,C58,IF($B$8=4,0,IF($B$8=6,C35,IF($B$8=3,0,0))))</f>
        <v>0</v>
      </c>
      <c r="K58" s="68">
        <f>IF($B$8=12,D58,IF($B$8=4,0,IF($B$8=6,D35,IF($B$8=3,0,0))))</f>
        <v>0</v>
      </c>
      <c r="M58" s="4195"/>
      <c r="N58" s="9" t="s">
        <v>27</v>
      </c>
      <c r="O58" s="43">
        <f t="shared" si="17"/>
        <v>0</v>
      </c>
      <c r="P58" s="43">
        <f t="shared" si="18"/>
        <v>0</v>
      </c>
      <c r="Q58" s="44">
        <f t="shared" si="19"/>
        <v>0</v>
      </c>
    </row>
    <row r="59" spans="1:17" ht="15.75" customHeight="1" thickBot="1">
      <c r="A59" s="24">
        <v>48</v>
      </c>
      <c r="B59" s="70">
        <f t="shared" si="14"/>
        <v>0</v>
      </c>
      <c r="C59" s="139">
        <f t="shared" si="5"/>
        <v>0</v>
      </c>
      <c r="D59" s="70">
        <f t="shared" si="15"/>
        <v>0</v>
      </c>
      <c r="E59" s="75">
        <f t="shared" si="16"/>
        <v>0</v>
      </c>
      <c r="F59" s="243">
        <f>SUM(D48:D59)</f>
        <v>0</v>
      </c>
      <c r="G59" s="4196"/>
      <c r="H59" s="25" t="s">
        <v>28</v>
      </c>
      <c r="I59" s="70">
        <f>IF($B$8=12,B59,IF($B$8=4,0,IF($B$8=6,0,IF($B$8=3,0,0))))</f>
        <v>0</v>
      </c>
      <c r="J59" s="70">
        <f>IF($B$8=12,C59,IF($B$8=4,0,IF($B$8=6,0,IF($B$8=3,0,0))))</f>
        <v>0</v>
      </c>
      <c r="K59" s="72">
        <f>IF($B$8=12,D59,IF($B$8=4,0,IF($B$8=6,0,IF($B$8=3,0,0))))</f>
        <v>0</v>
      </c>
      <c r="M59" s="4196"/>
      <c r="N59" s="35" t="s">
        <v>28</v>
      </c>
      <c r="O59" s="45">
        <f t="shared" si="17"/>
        <v>0</v>
      </c>
      <c r="P59" s="45">
        <f t="shared" si="18"/>
        <v>0</v>
      </c>
      <c r="Q59" s="46">
        <f t="shared" si="19"/>
        <v>0</v>
      </c>
    </row>
    <row r="60" spans="1:17" ht="15.75" customHeight="1">
      <c r="A60" s="23">
        <v>49</v>
      </c>
      <c r="B60" s="43">
        <f t="shared" si="14"/>
        <v>0</v>
      </c>
      <c r="C60" s="123">
        <f t="shared" si="5"/>
        <v>0</v>
      </c>
      <c r="D60" s="43">
        <f t="shared" si="15"/>
        <v>0</v>
      </c>
      <c r="E60" s="68">
        <f t="shared" si="16"/>
        <v>0</v>
      </c>
      <c r="F60" s="51"/>
      <c r="G60" s="4194">
        <f>G48+1</f>
        <v>4</v>
      </c>
      <c r="H60" s="22" t="s">
        <v>17</v>
      </c>
      <c r="I60" s="43">
        <f>IF($B$8=12,B60,IF($B$8=4,B28,IF($B$8=6,B36,IF($B$8=3,B24,IF($B$8=2,B20,IF($B$8=1,B16,0))))))</f>
        <v>0</v>
      </c>
      <c r="J60" s="43">
        <f>IF($B$8=12,C60,IF($B$8=4,C28,IF($B$8=6,C36,IF($B$8=3,C24,IF($B$8=2,C20,IF($B$8=1,C16,0))))))</f>
        <v>0</v>
      </c>
      <c r="K60" s="68">
        <f>IF($B$8=12,D60,IF($B$8=4,D28,IF($B$8=6,D36,IF($B$8=3,D24,IF($B$8=2,D20,IF($B$8=1,D16,0))))))</f>
        <v>0</v>
      </c>
      <c r="M60" s="4194">
        <f>M12+4</f>
        <v>4</v>
      </c>
      <c r="N60" s="9" t="s">
        <v>17</v>
      </c>
      <c r="O60" s="76">
        <f t="shared" ref="O60:O71" si="20">IF($I$6=5,I12,IF($I$6=4,I24,IF($I$6=3,I36,IF($I$6=2,I48,IF($I$6=1,I60,0)))))</f>
        <v>0</v>
      </c>
      <c r="P60" s="76">
        <f t="shared" ref="P60:P71" si="21">IF($I$6=5,J12,IF($I$6=4,J24,IF($I$6=3,J36,IF($I$6=2,J48,IF($I$6=1,J60,0)))))</f>
        <v>0</v>
      </c>
      <c r="Q60" s="77">
        <f t="shared" ref="Q60:Q71" si="22">IF($I$6=5,K12,IF($I$6=4,K24,IF($I$6=3,K36,IF($I$6=2,K48,IF($I$6=1,K60,0)))))</f>
        <v>0</v>
      </c>
    </row>
    <row r="61" spans="1:17" ht="15.75" customHeight="1">
      <c r="A61" s="23">
        <v>50</v>
      </c>
      <c r="B61" s="43">
        <f t="shared" si="14"/>
        <v>0</v>
      </c>
      <c r="C61" s="123">
        <f t="shared" si="5"/>
        <v>0</v>
      </c>
      <c r="D61" s="43">
        <f t="shared" si="15"/>
        <v>0</v>
      </c>
      <c r="E61" s="68">
        <f t="shared" si="16"/>
        <v>0</v>
      </c>
      <c r="F61" s="51"/>
      <c r="G61" s="4195"/>
      <c r="H61" s="22" t="s">
        <v>18</v>
      </c>
      <c r="I61" s="43">
        <f>IF($B$8=12,B61,0)</f>
        <v>0</v>
      </c>
      <c r="J61" s="43">
        <f>IF($B$8=12,C61,0)</f>
        <v>0</v>
      </c>
      <c r="K61" s="68">
        <f>IF($B$8=12,D61,0)</f>
        <v>0</v>
      </c>
      <c r="M61" s="4195"/>
      <c r="N61" s="9" t="s">
        <v>18</v>
      </c>
      <c r="O61" s="43">
        <f t="shared" si="20"/>
        <v>0</v>
      </c>
      <c r="P61" s="43">
        <f t="shared" si="21"/>
        <v>0</v>
      </c>
      <c r="Q61" s="44">
        <f t="shared" si="22"/>
        <v>0</v>
      </c>
    </row>
    <row r="62" spans="1:17" ht="15.75" customHeight="1">
      <c r="A62" s="23">
        <v>51</v>
      </c>
      <c r="B62" s="43">
        <f t="shared" si="14"/>
        <v>0</v>
      </c>
      <c r="C62" s="123">
        <f t="shared" si="5"/>
        <v>0</v>
      </c>
      <c r="D62" s="43">
        <f t="shared" si="15"/>
        <v>0</v>
      </c>
      <c r="E62" s="68">
        <f t="shared" si="16"/>
        <v>0</v>
      </c>
      <c r="F62" s="51"/>
      <c r="G62" s="4195"/>
      <c r="H62" s="22" t="s">
        <v>19</v>
      </c>
      <c r="I62" s="43">
        <f>IF($B$8=12,B62,IF($B$8=6,B37,0))</f>
        <v>0</v>
      </c>
      <c r="J62" s="43">
        <f>IF($B$8=12,C62,IF($B$8=6,C37,0))</f>
        <v>0</v>
      </c>
      <c r="K62" s="68">
        <f>IF($B$8=12,D62,IF($B$8=6,D37,0))</f>
        <v>0</v>
      </c>
      <c r="M62" s="4195"/>
      <c r="N62" s="9" t="s">
        <v>19</v>
      </c>
      <c r="O62" s="43">
        <f t="shared" si="20"/>
        <v>0</v>
      </c>
      <c r="P62" s="43">
        <f t="shared" si="21"/>
        <v>0</v>
      </c>
      <c r="Q62" s="44">
        <f t="shared" si="22"/>
        <v>0</v>
      </c>
    </row>
    <row r="63" spans="1:17" ht="15.75" customHeight="1">
      <c r="A63" s="23">
        <v>52</v>
      </c>
      <c r="B63" s="43">
        <f t="shared" si="14"/>
        <v>0</v>
      </c>
      <c r="C63" s="123">
        <f t="shared" si="5"/>
        <v>0</v>
      </c>
      <c r="D63" s="43">
        <f t="shared" si="15"/>
        <v>0</v>
      </c>
      <c r="E63" s="68">
        <f t="shared" si="16"/>
        <v>0</v>
      </c>
      <c r="F63" s="51"/>
      <c r="G63" s="4195"/>
      <c r="H63" s="22" t="s">
        <v>20</v>
      </c>
      <c r="I63" s="43">
        <f>IF($B$8=12,B63,IF($B$8=4,B29,IF($B$8=6,0,IF($B$8=3,0,0))))</f>
        <v>0</v>
      </c>
      <c r="J63" s="43">
        <f>IF($B$8=12,C63,IF($B$8=4,C29,IF($B$8=6,0,IF($B$8=3,0,0))))</f>
        <v>0</v>
      </c>
      <c r="K63" s="68">
        <f>IF($B$8=12,D63,IF($B$8=4,D29,IF($B$8=6,0,IF($B$8=3,0,0))))</f>
        <v>0</v>
      </c>
      <c r="M63" s="4195"/>
      <c r="N63" s="9" t="s">
        <v>20</v>
      </c>
      <c r="O63" s="43">
        <f t="shared" si="20"/>
        <v>0</v>
      </c>
      <c r="P63" s="43">
        <f t="shared" si="21"/>
        <v>0</v>
      </c>
      <c r="Q63" s="44">
        <f t="shared" si="22"/>
        <v>0</v>
      </c>
    </row>
    <row r="64" spans="1:17" ht="15.75" customHeight="1">
      <c r="A64" s="23">
        <v>53</v>
      </c>
      <c r="B64" s="43">
        <f t="shared" si="14"/>
        <v>0</v>
      </c>
      <c r="C64" s="123">
        <f t="shared" si="5"/>
        <v>0</v>
      </c>
      <c r="D64" s="43">
        <f t="shared" si="15"/>
        <v>0</v>
      </c>
      <c r="E64" s="68">
        <f t="shared" si="16"/>
        <v>0</v>
      </c>
      <c r="F64" s="51"/>
      <c r="G64" s="4195"/>
      <c r="H64" s="22" t="s">
        <v>21</v>
      </c>
      <c r="I64" s="43">
        <f>IF($B$8=12,B64,IF($B$8=4,0,IF($B$8=6,B38,IF($B$8=3,B25,0))))</f>
        <v>0</v>
      </c>
      <c r="J64" s="43">
        <f>IF($B$8=12,C64,IF($B$8=4,0,IF($B$8=6,C38,IF($B$8=3,C25,0))))</f>
        <v>0</v>
      </c>
      <c r="K64" s="68">
        <f>IF($B$8=12,D64,IF($B$8=4,0,IF($B$8=6,D38,IF($B$8=3,D25,0))))</f>
        <v>0</v>
      </c>
      <c r="M64" s="4195"/>
      <c r="N64" s="9" t="s">
        <v>21</v>
      </c>
      <c r="O64" s="43">
        <f t="shared" si="20"/>
        <v>0</v>
      </c>
      <c r="P64" s="43">
        <f t="shared" si="21"/>
        <v>0</v>
      </c>
      <c r="Q64" s="44">
        <f t="shared" si="22"/>
        <v>0</v>
      </c>
    </row>
    <row r="65" spans="1:17" ht="15.75" customHeight="1">
      <c r="A65" s="23">
        <v>54</v>
      </c>
      <c r="B65" s="43">
        <f t="shared" si="14"/>
        <v>0</v>
      </c>
      <c r="C65" s="123">
        <f t="shared" si="5"/>
        <v>0</v>
      </c>
      <c r="D65" s="43">
        <f t="shared" si="15"/>
        <v>0</v>
      </c>
      <c r="E65" s="68">
        <f t="shared" si="16"/>
        <v>0</v>
      </c>
      <c r="F65" s="51"/>
      <c r="G65" s="4195"/>
      <c r="H65" s="22" t="s">
        <v>22</v>
      </c>
      <c r="I65" s="43">
        <f>IF($B$8=12,B65,IF($B$8=4,0,IF($B$8=6,0,IF($B$8=3,0,0))))</f>
        <v>0</v>
      </c>
      <c r="J65" s="43">
        <f>IF($B$8=12,C65,IF($B$8=4,0,IF($B$8=6,0,IF($B$8=3,0,0))))</f>
        <v>0</v>
      </c>
      <c r="K65" s="68">
        <f>IF($B$8=12,D65,IF($B$8=4,0,IF($B$8=6,0,IF($B$8=3,0,0))))</f>
        <v>0</v>
      </c>
      <c r="M65" s="4195"/>
      <c r="N65" s="9" t="s">
        <v>22</v>
      </c>
      <c r="O65" s="43">
        <f t="shared" si="20"/>
        <v>0</v>
      </c>
      <c r="P65" s="43">
        <f t="shared" si="21"/>
        <v>0</v>
      </c>
      <c r="Q65" s="44">
        <f t="shared" si="22"/>
        <v>0</v>
      </c>
    </row>
    <row r="66" spans="1:17" ht="15.75" customHeight="1">
      <c r="A66" s="23">
        <v>55</v>
      </c>
      <c r="B66" s="43">
        <f t="shared" si="14"/>
        <v>0</v>
      </c>
      <c r="C66" s="123">
        <f t="shared" si="5"/>
        <v>0</v>
      </c>
      <c r="D66" s="43">
        <f t="shared" si="15"/>
        <v>0</v>
      </c>
      <c r="E66" s="68">
        <f t="shared" si="16"/>
        <v>0</v>
      </c>
      <c r="F66" s="51"/>
      <c r="G66" s="4195"/>
      <c r="H66" s="22" t="s">
        <v>23</v>
      </c>
      <c r="I66" s="43">
        <f>IF($B$8=12,B66,IF($B$8=4,B30,IF($B$8=6,B39,IF($B$8=3,0,IF($B$8=2,B21,0)))))</f>
        <v>0</v>
      </c>
      <c r="J66" s="43">
        <f>IF($B$8=12,C66,IF($B$8=4,C30,IF($B$8=6,C39,IF($B$8=3,0,IF($B$8=2,C21,0)))))</f>
        <v>0</v>
      </c>
      <c r="K66" s="68">
        <f>IF($B$8=12,D66,IF($B$8=4,D30,IF($B$8=6,D39,IF($B$8=3,0,IF($B$8=2,D21,0)))))</f>
        <v>0</v>
      </c>
      <c r="M66" s="4195"/>
      <c r="N66" s="9" t="s">
        <v>23</v>
      </c>
      <c r="O66" s="43">
        <f t="shared" si="20"/>
        <v>0</v>
      </c>
      <c r="P66" s="43">
        <f t="shared" si="21"/>
        <v>0</v>
      </c>
      <c r="Q66" s="44">
        <f t="shared" si="22"/>
        <v>0</v>
      </c>
    </row>
    <row r="67" spans="1:17" ht="15.75" customHeight="1">
      <c r="A67" s="23">
        <v>56</v>
      </c>
      <c r="B67" s="43">
        <f t="shared" si="14"/>
        <v>0</v>
      </c>
      <c r="C67" s="123">
        <f t="shared" si="5"/>
        <v>0</v>
      </c>
      <c r="D67" s="43">
        <f t="shared" si="15"/>
        <v>0</v>
      </c>
      <c r="E67" s="68">
        <f t="shared" si="16"/>
        <v>0</v>
      </c>
      <c r="F67" s="51"/>
      <c r="G67" s="4195"/>
      <c r="H67" s="22" t="s">
        <v>24</v>
      </c>
      <c r="I67" s="43">
        <f>IF($B$8=12,B67,IF($B$8=4,0,IF($B$8=6,0,IF($B$8=3,0,0))))</f>
        <v>0</v>
      </c>
      <c r="J67" s="43">
        <f>IF($B$8=12,C67,IF($B$8=4,0,IF($B$8=6,0,IF($B$8=3,0,0))))</f>
        <v>0</v>
      </c>
      <c r="K67" s="68">
        <f>IF($B$8=12,D67,IF($B$8=4,0,IF($B$8=6,0,IF($B$8=3,0,0))))</f>
        <v>0</v>
      </c>
      <c r="M67" s="4195"/>
      <c r="N67" s="9" t="s">
        <v>24</v>
      </c>
      <c r="O67" s="43">
        <f t="shared" si="20"/>
        <v>0</v>
      </c>
      <c r="P67" s="43">
        <f t="shared" si="21"/>
        <v>0</v>
      </c>
      <c r="Q67" s="44">
        <f t="shared" si="22"/>
        <v>0</v>
      </c>
    </row>
    <row r="68" spans="1:17" ht="15.75" customHeight="1">
      <c r="A68" s="23">
        <v>57</v>
      </c>
      <c r="B68" s="43">
        <f t="shared" si="14"/>
        <v>0</v>
      </c>
      <c r="C68" s="123">
        <f t="shared" si="5"/>
        <v>0</v>
      </c>
      <c r="D68" s="43">
        <f t="shared" si="15"/>
        <v>0</v>
      </c>
      <c r="E68" s="68">
        <f t="shared" si="16"/>
        <v>0</v>
      </c>
      <c r="F68" s="51"/>
      <c r="G68" s="4195"/>
      <c r="H68" s="22" t="s">
        <v>25</v>
      </c>
      <c r="I68" s="43">
        <f>IF($B$8=12,B68,IF($B$8=4,0,IF($B$8=6,B40,IF($B$8=3,B26,0))))</f>
        <v>0</v>
      </c>
      <c r="J68" s="43">
        <f>IF($B$8=12,C68,IF($B$8=4,0,IF($B$8=6,C40,IF($B$8=3,C26,0))))</f>
        <v>0</v>
      </c>
      <c r="K68" s="68">
        <f>IF($B$8=12,D68,IF($B$8=4,0,IF($B$8=6,D40,IF($B$8=3,D26,0))))</f>
        <v>0</v>
      </c>
      <c r="M68" s="4195"/>
      <c r="N68" s="9" t="s">
        <v>25</v>
      </c>
      <c r="O68" s="43">
        <f t="shared" si="20"/>
        <v>0</v>
      </c>
      <c r="P68" s="43">
        <f t="shared" si="21"/>
        <v>0</v>
      </c>
      <c r="Q68" s="44">
        <f t="shared" si="22"/>
        <v>0</v>
      </c>
    </row>
    <row r="69" spans="1:17" ht="15.75" customHeight="1">
      <c r="A69" s="23">
        <v>58</v>
      </c>
      <c r="B69" s="43">
        <f t="shared" si="14"/>
        <v>0</v>
      </c>
      <c r="C69" s="123">
        <f t="shared" si="5"/>
        <v>0</v>
      </c>
      <c r="D69" s="43">
        <f t="shared" si="15"/>
        <v>0</v>
      </c>
      <c r="E69" s="68">
        <f t="shared" si="16"/>
        <v>0</v>
      </c>
      <c r="F69" s="51"/>
      <c r="G69" s="4195"/>
      <c r="H69" s="22" t="s">
        <v>26</v>
      </c>
      <c r="I69" s="43">
        <f>IF($B$8=12,B69,IF($B$8=4,B31,IF($B$8=6,0,IF($B$8=3,0,0))))</f>
        <v>0</v>
      </c>
      <c r="J69" s="43">
        <f>IF($B$8=12,C69,IF($B$8=4,C31,IF($B$8=6,0,IF($B$8=3,0,0))))</f>
        <v>0</v>
      </c>
      <c r="K69" s="68">
        <f>IF($B$8=12,D69,IF($B$8=4,D31,IF($B$8=6,0,IF($B$8=3,0,0))))</f>
        <v>0</v>
      </c>
      <c r="M69" s="4195"/>
      <c r="N69" s="9" t="s">
        <v>26</v>
      </c>
      <c r="O69" s="43">
        <f t="shared" si="20"/>
        <v>0</v>
      </c>
      <c r="P69" s="43">
        <f t="shared" si="21"/>
        <v>0</v>
      </c>
      <c r="Q69" s="44">
        <f t="shared" si="22"/>
        <v>0</v>
      </c>
    </row>
    <row r="70" spans="1:17" ht="15.75" customHeight="1">
      <c r="A70" s="23">
        <v>59</v>
      </c>
      <c r="B70" s="43">
        <f t="shared" si="14"/>
        <v>0</v>
      </c>
      <c r="C70" s="123">
        <f t="shared" si="5"/>
        <v>0</v>
      </c>
      <c r="D70" s="43">
        <f t="shared" si="15"/>
        <v>0</v>
      </c>
      <c r="E70" s="68">
        <f t="shared" si="16"/>
        <v>0</v>
      </c>
      <c r="F70" s="51"/>
      <c r="G70" s="4195"/>
      <c r="H70" s="22" t="s">
        <v>27</v>
      </c>
      <c r="I70" s="43">
        <f>IF($B$8=12,B70,IF($B$8=4,0,IF($B$8=6,B41,IF($B$8=3,0,0))))</f>
        <v>0</v>
      </c>
      <c r="J70" s="43">
        <f>IF($B$8=12,C70,IF($B$8=4,0,IF($B$8=6,C41,IF($B$8=3,0,0))))</f>
        <v>0</v>
      </c>
      <c r="K70" s="68">
        <f>IF($B$8=12,D70,IF($B$8=4,0,IF($B$8=6,D41,IF($B$8=3,0,0))))</f>
        <v>0</v>
      </c>
      <c r="M70" s="4195"/>
      <c r="N70" s="9" t="s">
        <v>27</v>
      </c>
      <c r="O70" s="43">
        <f t="shared" si="20"/>
        <v>0</v>
      </c>
      <c r="P70" s="43">
        <f t="shared" si="21"/>
        <v>0</v>
      </c>
      <c r="Q70" s="44">
        <f t="shared" si="22"/>
        <v>0</v>
      </c>
    </row>
    <row r="71" spans="1:17" ht="15.75" customHeight="1" thickBot="1">
      <c r="A71" s="26">
        <v>60</v>
      </c>
      <c r="B71" s="48">
        <f t="shared" si="14"/>
        <v>0</v>
      </c>
      <c r="C71" s="138">
        <f t="shared" si="5"/>
        <v>0</v>
      </c>
      <c r="D71" s="48">
        <f t="shared" si="15"/>
        <v>0</v>
      </c>
      <c r="E71" s="49">
        <f t="shared" si="16"/>
        <v>0</v>
      </c>
      <c r="F71" s="243">
        <f>SUM(D60:D71)</f>
        <v>0</v>
      </c>
      <c r="G71" s="4196"/>
      <c r="H71" s="38" t="s">
        <v>28</v>
      </c>
      <c r="I71" s="48">
        <f>IF($B$8=12,B71,IF($B$8=4,0,IF($B$8=6,0,IF($B$8=3,0,0))))</f>
        <v>0</v>
      </c>
      <c r="J71" s="48">
        <f>IF($B$8=12,C71,IF($B$8=4,0,IF($B$8=6,0,IF($B$8=3,0,0))))</f>
        <v>0</v>
      </c>
      <c r="K71" s="79">
        <f>IF($B$8=12,D71,IF($B$8=4,0,IF($B$8=6,0,IF($B$8=3,0,0))))</f>
        <v>0</v>
      </c>
      <c r="M71" s="4196"/>
      <c r="N71" s="36" t="s">
        <v>28</v>
      </c>
      <c r="O71" s="48">
        <f t="shared" si="20"/>
        <v>0</v>
      </c>
      <c r="P71" s="48">
        <f t="shared" si="21"/>
        <v>0</v>
      </c>
      <c r="Q71" s="49">
        <f t="shared" si="22"/>
        <v>0</v>
      </c>
    </row>
    <row r="72" spans="1:17" ht="16.5" thickTop="1">
      <c r="A72" s="23">
        <v>61</v>
      </c>
      <c r="B72" s="43">
        <f t="shared" ref="B72:B83" si="23">IF(A72&gt;$I$9,IF(E71&gt;1,PMT($B$6/$B$8,$B$7*$B$8,-$B$5),0),0)</f>
        <v>0</v>
      </c>
      <c r="C72" s="123">
        <f t="shared" ref="C72:C83" si="24">IF(B72&gt;0,B72-D72,E72*($B$6/$B$8))</f>
        <v>0</v>
      </c>
      <c r="D72" s="43">
        <f t="shared" ref="D72:D83" si="25">IF(A72&gt;$I$9,B72-(E71*($B$6/$B$8)),0)</f>
        <v>0</v>
      </c>
      <c r="E72" s="44">
        <f t="shared" ref="E72:E83" si="26">IF((E71-D72)&gt;0,E71-D72,0)</f>
        <v>0</v>
      </c>
      <c r="F72" s="51"/>
      <c r="H72" s="22" t="s">
        <v>17</v>
      </c>
      <c r="I72" s="43">
        <f t="shared" ref="I72:I83" si="27">IF($B$8=12,B72,IF($B$8=4,0,IF($B$8=6,0,IF($B$8=3,0,0))))</f>
        <v>0</v>
      </c>
      <c r="J72" s="43">
        <f t="shared" ref="J72:J83" si="28">IF($B$8=12,C72,IF($B$8=4,0,IF($B$8=6,0,IF($B$8=3,0,0))))</f>
        <v>0</v>
      </c>
      <c r="K72" s="68">
        <f t="shared" ref="K72:K83" si="29">IF($B$8=12,D72,IF($B$8=4,0,IF($B$8=6,0,IF($B$8=3,0,0))))</f>
        <v>0</v>
      </c>
      <c r="N72" s="9" t="s">
        <v>17</v>
      </c>
      <c r="O72" s="43">
        <f t="shared" ref="O72:O83" si="30">IF($I$6=5,I24,IF($I$6=4,I36,IF($I$6=3,I48,IF($I$6=2,I60,IF($I$6=1,I72,0)))))</f>
        <v>0</v>
      </c>
      <c r="P72" s="43">
        <f t="shared" ref="P72:P83" si="31">IF($I$6=5,J24,IF($I$6=4,J36,IF($I$6=3,J48,IF($I$6=2,J60,IF($I$6=1,J72,0)))))</f>
        <v>0</v>
      </c>
      <c r="Q72" s="44">
        <f t="shared" ref="Q72:Q83" si="32">IF($I$6=5,K24,IF($I$6=4,K36,IF($I$6=3,K48,IF($I$6=2,K60,IF($I$6=1,K72,0)))))</f>
        <v>0</v>
      </c>
    </row>
    <row r="73" spans="1:17">
      <c r="A73" s="23">
        <v>62</v>
      </c>
      <c r="B73" s="43">
        <f t="shared" si="23"/>
        <v>0</v>
      </c>
      <c r="C73" s="123">
        <f t="shared" si="24"/>
        <v>0</v>
      </c>
      <c r="D73" s="43">
        <f t="shared" si="25"/>
        <v>0</v>
      </c>
      <c r="E73" s="44">
        <f t="shared" si="26"/>
        <v>0</v>
      </c>
      <c r="F73"/>
      <c r="H73" s="22" t="s">
        <v>18</v>
      </c>
      <c r="I73" s="43">
        <f t="shared" si="27"/>
        <v>0</v>
      </c>
      <c r="J73" s="43">
        <f t="shared" si="28"/>
        <v>0</v>
      </c>
      <c r="K73" s="68">
        <f t="shared" si="29"/>
        <v>0</v>
      </c>
      <c r="N73" s="9" t="s">
        <v>18</v>
      </c>
      <c r="O73" s="43">
        <f t="shared" si="30"/>
        <v>0</v>
      </c>
      <c r="P73" s="43">
        <f t="shared" si="31"/>
        <v>0</v>
      </c>
      <c r="Q73" s="44">
        <f t="shared" si="32"/>
        <v>0</v>
      </c>
    </row>
    <row r="74" spans="1:17">
      <c r="A74" s="23">
        <v>63</v>
      </c>
      <c r="B74" s="43">
        <f t="shared" si="23"/>
        <v>0</v>
      </c>
      <c r="C74" s="123">
        <f t="shared" si="24"/>
        <v>0</v>
      </c>
      <c r="D74" s="43">
        <f t="shared" si="25"/>
        <v>0</v>
      </c>
      <c r="E74" s="44">
        <f t="shared" si="26"/>
        <v>0</v>
      </c>
      <c r="F74"/>
      <c r="H74" s="22" t="s">
        <v>19</v>
      </c>
      <c r="I74" s="43">
        <f t="shared" si="27"/>
        <v>0</v>
      </c>
      <c r="J74" s="43">
        <f t="shared" si="28"/>
        <v>0</v>
      </c>
      <c r="K74" s="68">
        <f t="shared" si="29"/>
        <v>0</v>
      </c>
      <c r="N74" s="9" t="s">
        <v>19</v>
      </c>
      <c r="O74" s="43">
        <f t="shared" si="30"/>
        <v>0</v>
      </c>
      <c r="P74" s="43">
        <f t="shared" si="31"/>
        <v>0</v>
      </c>
      <c r="Q74" s="44">
        <f t="shared" si="32"/>
        <v>0</v>
      </c>
    </row>
    <row r="75" spans="1:17">
      <c r="A75" s="23">
        <v>64</v>
      </c>
      <c r="B75" s="43">
        <f t="shared" si="23"/>
        <v>0</v>
      </c>
      <c r="C75" s="123">
        <f t="shared" si="24"/>
        <v>0</v>
      </c>
      <c r="D75" s="43">
        <f t="shared" si="25"/>
        <v>0</v>
      </c>
      <c r="E75" s="44">
        <f t="shared" si="26"/>
        <v>0</v>
      </c>
      <c r="F75"/>
      <c r="H75" s="22" t="s">
        <v>20</v>
      </c>
      <c r="I75" s="43">
        <f t="shared" si="27"/>
        <v>0</v>
      </c>
      <c r="J75" s="43">
        <f t="shared" si="28"/>
        <v>0</v>
      </c>
      <c r="K75" s="68">
        <f t="shared" si="29"/>
        <v>0</v>
      </c>
      <c r="N75" s="9" t="s">
        <v>20</v>
      </c>
      <c r="O75" s="43">
        <f t="shared" si="30"/>
        <v>0</v>
      </c>
      <c r="P75" s="43">
        <f t="shared" si="31"/>
        <v>0</v>
      </c>
      <c r="Q75" s="44">
        <f t="shared" si="32"/>
        <v>0</v>
      </c>
    </row>
    <row r="76" spans="1:17">
      <c r="A76" s="23">
        <v>65</v>
      </c>
      <c r="B76" s="43">
        <f t="shared" si="23"/>
        <v>0</v>
      </c>
      <c r="C76" s="123">
        <f t="shared" si="24"/>
        <v>0</v>
      </c>
      <c r="D76" s="43">
        <f t="shared" si="25"/>
        <v>0</v>
      </c>
      <c r="E76" s="44">
        <f t="shared" si="26"/>
        <v>0</v>
      </c>
      <c r="F76"/>
      <c r="H76" s="22" t="s">
        <v>21</v>
      </c>
      <c r="I76" s="43">
        <f t="shared" si="27"/>
        <v>0</v>
      </c>
      <c r="J76" s="43">
        <f t="shared" si="28"/>
        <v>0</v>
      </c>
      <c r="K76" s="68">
        <f t="shared" si="29"/>
        <v>0</v>
      </c>
      <c r="N76" s="9" t="s">
        <v>21</v>
      </c>
      <c r="O76" s="43">
        <f t="shared" si="30"/>
        <v>0</v>
      </c>
      <c r="P76" s="43">
        <f t="shared" si="31"/>
        <v>0</v>
      </c>
      <c r="Q76" s="44">
        <f t="shared" si="32"/>
        <v>0</v>
      </c>
    </row>
    <row r="77" spans="1:17">
      <c r="A77" s="23">
        <v>66</v>
      </c>
      <c r="B77" s="43">
        <f t="shared" si="23"/>
        <v>0</v>
      </c>
      <c r="C77" s="123">
        <f t="shared" si="24"/>
        <v>0</v>
      </c>
      <c r="D77" s="43">
        <f t="shared" si="25"/>
        <v>0</v>
      </c>
      <c r="E77" s="44">
        <f t="shared" si="26"/>
        <v>0</v>
      </c>
      <c r="F77"/>
      <c r="H77" s="22" t="s">
        <v>22</v>
      </c>
      <c r="I77" s="43">
        <f t="shared" si="27"/>
        <v>0</v>
      </c>
      <c r="J77" s="43">
        <f t="shared" si="28"/>
        <v>0</v>
      </c>
      <c r="K77" s="68">
        <f t="shared" si="29"/>
        <v>0</v>
      </c>
      <c r="N77" s="9" t="s">
        <v>22</v>
      </c>
      <c r="O77" s="43">
        <f t="shared" si="30"/>
        <v>0</v>
      </c>
      <c r="P77" s="43">
        <f t="shared" si="31"/>
        <v>0</v>
      </c>
      <c r="Q77" s="44">
        <f t="shared" si="32"/>
        <v>0</v>
      </c>
    </row>
    <row r="78" spans="1:17">
      <c r="A78" s="23">
        <v>67</v>
      </c>
      <c r="B78" s="43">
        <f t="shared" si="23"/>
        <v>0</v>
      </c>
      <c r="C78" s="123">
        <f t="shared" si="24"/>
        <v>0</v>
      </c>
      <c r="D78" s="43">
        <f t="shared" si="25"/>
        <v>0</v>
      </c>
      <c r="E78" s="44">
        <f t="shared" si="26"/>
        <v>0</v>
      </c>
      <c r="F78"/>
      <c r="H78" s="22" t="s">
        <v>23</v>
      </c>
      <c r="I78" s="43">
        <f t="shared" si="27"/>
        <v>0</v>
      </c>
      <c r="J78" s="43">
        <f t="shared" si="28"/>
        <v>0</v>
      </c>
      <c r="K78" s="68">
        <f t="shared" si="29"/>
        <v>0</v>
      </c>
      <c r="N78" s="9" t="s">
        <v>23</v>
      </c>
      <c r="O78" s="43">
        <f t="shared" si="30"/>
        <v>0</v>
      </c>
      <c r="P78" s="43">
        <f t="shared" si="31"/>
        <v>0</v>
      </c>
      <c r="Q78" s="44">
        <f t="shared" si="32"/>
        <v>0</v>
      </c>
    </row>
    <row r="79" spans="1:17">
      <c r="A79" s="23">
        <v>68</v>
      </c>
      <c r="B79" s="43">
        <f t="shared" si="23"/>
        <v>0</v>
      </c>
      <c r="C79" s="123">
        <f t="shared" si="24"/>
        <v>0</v>
      </c>
      <c r="D79" s="43">
        <f t="shared" si="25"/>
        <v>0</v>
      </c>
      <c r="E79" s="44">
        <f t="shared" si="26"/>
        <v>0</v>
      </c>
      <c r="F79"/>
      <c r="H79" s="22" t="s">
        <v>24</v>
      </c>
      <c r="I79" s="43">
        <f t="shared" si="27"/>
        <v>0</v>
      </c>
      <c r="J79" s="43">
        <f t="shared" si="28"/>
        <v>0</v>
      </c>
      <c r="K79" s="68">
        <f t="shared" si="29"/>
        <v>0</v>
      </c>
      <c r="N79" s="9" t="s">
        <v>24</v>
      </c>
      <c r="O79" s="43">
        <f t="shared" si="30"/>
        <v>0</v>
      </c>
      <c r="P79" s="43">
        <f t="shared" si="31"/>
        <v>0</v>
      </c>
      <c r="Q79" s="44">
        <f t="shared" si="32"/>
        <v>0</v>
      </c>
    </row>
    <row r="80" spans="1:17">
      <c r="A80" s="23">
        <v>69</v>
      </c>
      <c r="B80" s="43">
        <f t="shared" si="23"/>
        <v>0</v>
      </c>
      <c r="C80" s="123">
        <f t="shared" si="24"/>
        <v>0</v>
      </c>
      <c r="D80" s="43">
        <f t="shared" si="25"/>
        <v>0</v>
      </c>
      <c r="E80" s="44">
        <f t="shared" si="26"/>
        <v>0</v>
      </c>
      <c r="F80"/>
      <c r="H80" s="22" t="s">
        <v>25</v>
      </c>
      <c r="I80" s="43">
        <f t="shared" si="27"/>
        <v>0</v>
      </c>
      <c r="J80" s="43">
        <f t="shared" si="28"/>
        <v>0</v>
      </c>
      <c r="K80" s="68">
        <f t="shared" si="29"/>
        <v>0</v>
      </c>
      <c r="N80" s="9" t="s">
        <v>25</v>
      </c>
      <c r="O80" s="43">
        <f t="shared" si="30"/>
        <v>0</v>
      </c>
      <c r="P80" s="43">
        <f t="shared" si="31"/>
        <v>0</v>
      </c>
      <c r="Q80" s="44">
        <f t="shared" si="32"/>
        <v>0</v>
      </c>
    </row>
    <row r="81" spans="1:17">
      <c r="A81" s="23">
        <v>70</v>
      </c>
      <c r="B81" s="43">
        <f t="shared" si="23"/>
        <v>0</v>
      </c>
      <c r="C81" s="123">
        <f t="shared" si="24"/>
        <v>0</v>
      </c>
      <c r="D81" s="43">
        <f t="shared" si="25"/>
        <v>0</v>
      </c>
      <c r="E81" s="44">
        <f t="shared" si="26"/>
        <v>0</v>
      </c>
      <c r="F81"/>
      <c r="H81" s="22" t="s">
        <v>26</v>
      </c>
      <c r="I81" s="43">
        <f t="shared" si="27"/>
        <v>0</v>
      </c>
      <c r="J81" s="43">
        <f t="shared" si="28"/>
        <v>0</v>
      </c>
      <c r="K81" s="68">
        <f t="shared" si="29"/>
        <v>0</v>
      </c>
      <c r="N81" s="9" t="s">
        <v>26</v>
      </c>
      <c r="O81" s="43">
        <f t="shared" si="30"/>
        <v>0</v>
      </c>
      <c r="P81" s="43">
        <f t="shared" si="31"/>
        <v>0</v>
      </c>
      <c r="Q81" s="44">
        <f t="shared" si="32"/>
        <v>0</v>
      </c>
    </row>
    <row r="82" spans="1:17">
      <c r="A82" s="23">
        <v>71</v>
      </c>
      <c r="B82" s="43">
        <f t="shared" si="23"/>
        <v>0</v>
      </c>
      <c r="C82" s="123">
        <f t="shared" si="24"/>
        <v>0</v>
      </c>
      <c r="D82" s="43">
        <f t="shared" si="25"/>
        <v>0</v>
      </c>
      <c r="E82" s="44">
        <f t="shared" si="26"/>
        <v>0</v>
      </c>
      <c r="F82"/>
      <c r="H82" s="22" t="s">
        <v>27</v>
      </c>
      <c r="I82" s="43">
        <f t="shared" si="27"/>
        <v>0</v>
      </c>
      <c r="J82" s="43">
        <f t="shared" si="28"/>
        <v>0</v>
      </c>
      <c r="K82" s="68">
        <f t="shared" si="29"/>
        <v>0</v>
      </c>
      <c r="N82" s="9" t="s">
        <v>27</v>
      </c>
      <c r="O82" s="43">
        <f t="shared" si="30"/>
        <v>0</v>
      </c>
      <c r="P82" s="43">
        <f t="shared" si="31"/>
        <v>0</v>
      </c>
      <c r="Q82" s="44">
        <f t="shared" si="32"/>
        <v>0</v>
      </c>
    </row>
    <row r="83" spans="1:17" ht="16.5" thickBot="1">
      <c r="A83" s="26">
        <v>72</v>
      </c>
      <c r="B83" s="48">
        <f t="shared" si="23"/>
        <v>0</v>
      </c>
      <c r="C83" s="138">
        <f t="shared" si="24"/>
        <v>0</v>
      </c>
      <c r="D83" s="48">
        <f t="shared" si="25"/>
        <v>0</v>
      </c>
      <c r="E83" s="49">
        <f t="shared" si="26"/>
        <v>0</v>
      </c>
      <c r="F83" s="243">
        <f>SUM(D72:D83)</f>
        <v>0</v>
      </c>
      <c r="H83" s="38" t="s">
        <v>28</v>
      </c>
      <c r="I83" s="48">
        <f t="shared" si="27"/>
        <v>0</v>
      </c>
      <c r="J83" s="48">
        <f t="shared" si="28"/>
        <v>0</v>
      </c>
      <c r="K83" s="79">
        <f t="shared" si="29"/>
        <v>0</v>
      </c>
      <c r="N83" s="36" t="s">
        <v>28</v>
      </c>
      <c r="O83" s="48">
        <f t="shared" si="30"/>
        <v>0</v>
      </c>
      <c r="P83" s="48">
        <f t="shared" si="31"/>
        <v>0</v>
      </c>
      <c r="Q83" s="49">
        <f t="shared" si="32"/>
        <v>0</v>
      </c>
    </row>
    <row r="84" spans="1:17" ht="16.5" thickTop="1"/>
  </sheetData>
  <sheetProtection sheet="1" formatColumns="0" formatRows="0"/>
  <mergeCells count="10">
    <mergeCell ref="G12:G23"/>
    <mergeCell ref="G60:G71"/>
    <mergeCell ref="G24:G35"/>
    <mergeCell ref="G36:G47"/>
    <mergeCell ref="G48:G59"/>
    <mergeCell ref="M60:M71"/>
    <mergeCell ref="M12:M23"/>
    <mergeCell ref="M24:M35"/>
    <mergeCell ref="M36:M47"/>
    <mergeCell ref="M48:M59"/>
  </mergeCells>
  <phoneticPr fontId="9" type="noConversion"/>
  <dataValidations xWindow="178" yWindow="332" count="2">
    <dataValidation type="whole" allowBlank="1" showInputMessage="1" showErrorMessage="1" prompt="12 - Pago mensual_x000a_  6 - Pago bimestral_x000a_  4 - Pago trimestral_x000a_  3 - Pago cuatrimestral_x000a_  2 - Pago semestral_x000a_  1 - Pago anual" sqref="B8">
      <formula1>1</formula1>
      <formula2>12</formula2>
    </dataValidation>
    <dataValidation type="decimal" allowBlank="1" showErrorMessage="1" sqref="B9">
      <formula1>0</formula1>
      <formula2>12</formula2>
    </dataValidation>
  </dataValidations>
  <printOptions horizontalCentered="1"/>
  <pageMargins left="0.78740157480314965" right="0.75" top="0.47244094488188981" bottom="0.15748031496062992" header="0" footer="0"/>
  <pageSetup paperSize="9" scale="4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5"/>
  <sheetViews>
    <sheetView view="pageBreakPreview" zoomScale="120" zoomScaleNormal="78" zoomScaleSheetLayoutView="120" workbookViewId="0">
      <selection activeCell="F12" sqref="F12"/>
    </sheetView>
  </sheetViews>
  <sheetFormatPr baseColWidth="10" defaultColWidth="0" defaultRowHeight="12.75"/>
  <cols>
    <col min="1" max="1" width="86.33203125" style="240" customWidth="1"/>
    <col min="2" max="2" width="23.1640625" style="240" customWidth="1"/>
    <col min="3" max="3" width="23.6640625" style="240" customWidth="1"/>
    <col min="4" max="4" width="6.5" style="240" customWidth="1"/>
    <col min="5" max="5" width="0.33203125" style="240" customWidth="1"/>
    <col min="6" max="10" width="12" style="240" customWidth="1"/>
    <col min="11" max="11" width="20.6640625" style="240" customWidth="1"/>
    <col min="12" max="16384" width="0" style="240" hidden="1"/>
  </cols>
  <sheetData>
    <row r="1" spans="1:5" ht="12" customHeight="1"/>
    <row r="2" spans="1:5" ht="18">
      <c r="A2" s="3342" t="s">
        <v>822</v>
      </c>
      <c r="B2" s="3342"/>
      <c r="C2" s="3342"/>
      <c r="D2" s="3342"/>
      <c r="E2" s="3342"/>
    </row>
    <row r="3" spans="1:5" ht="5.25" customHeight="1"/>
    <row r="74" ht="11.25" customHeight="1"/>
    <row r="90" ht="13.5" customHeight="1"/>
    <row r="91" ht="12" customHeight="1"/>
    <row r="105" ht="15.75" customHeight="1"/>
    <row r="275" ht="11.25" customHeight="1"/>
  </sheetData>
  <sheetProtection sheet="1" objects="1" scenarios="1"/>
  <mergeCells count="1">
    <mergeCell ref="A2:E2"/>
  </mergeCells>
  <dataValidations count="1">
    <dataValidation allowBlank="1" showInputMessage="1" sqref="A2:E2"/>
  </dataValidations>
  <printOptions horizontalCentered="1" verticalCentered="1"/>
  <pageMargins left="0.31496062992125984" right="0.31496062992125984" top="0.55118110236220474" bottom="0.55118110236220474" header="0.31496062992125984" footer="0.31496062992125984"/>
  <pageSetup paperSize="9" scale="39" orientation="portrait" r:id="rId1"/>
  <headerFooter>
    <oddFooter>&amp;A</oddFooter>
  </headerFooter>
  <rowBreaks count="2" manualBreakCount="2">
    <brk id="85" max="3" man="1"/>
    <brk id="452" max="3" man="1"/>
  </rowBreaks>
  <colBreaks count="1" manualBreakCount="1">
    <brk id="11" max="337"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Y83"/>
  <sheetViews>
    <sheetView topLeftCell="A7" zoomScale="75" workbookViewId="0">
      <selection activeCell="W33" sqref="W33"/>
    </sheetView>
  </sheetViews>
  <sheetFormatPr baseColWidth="10" defaultColWidth="11.1640625" defaultRowHeight="15.75"/>
  <cols>
    <col min="1" max="1" width="24" style="81" customWidth="1"/>
    <col min="2" max="2" width="21" style="51" customWidth="1"/>
    <col min="3" max="3" width="17.5" style="51" customWidth="1"/>
    <col min="4" max="4" width="17.6640625" style="51" customWidth="1"/>
    <col min="5" max="5" width="19" style="51" customWidth="1"/>
    <col min="6" max="6" width="11.83203125" style="51" customWidth="1"/>
    <col min="7" max="7" width="3.83203125" style="81" customWidth="1"/>
    <col min="8" max="9" width="17.6640625" style="51" customWidth="1"/>
    <col min="10" max="10" width="17.33203125" style="51" customWidth="1"/>
    <col min="11" max="11" width="19" style="51" customWidth="1"/>
    <col min="12" max="12" width="7.33203125" style="51" customWidth="1"/>
    <col min="13" max="13" width="3.83203125" style="81" customWidth="1"/>
    <col min="14" max="14" width="17.6640625" style="52" customWidth="1"/>
    <col min="15" max="15" width="17.33203125" style="51" customWidth="1"/>
    <col min="16" max="16" width="17.6640625" style="51" customWidth="1"/>
    <col min="17" max="18" width="19" style="51" customWidth="1"/>
    <col min="19" max="19" width="16.6640625" style="9" customWidth="1"/>
    <col min="20" max="20" width="20" style="9" customWidth="1"/>
    <col min="21" max="21" width="11.1640625" style="9"/>
    <col min="22" max="22" width="20.1640625" style="9" customWidth="1"/>
    <col min="23" max="23" width="16" style="9" customWidth="1"/>
    <col min="24" max="24" width="15.6640625" style="9" customWidth="1"/>
    <col min="25" max="25" width="21.83203125" style="9" customWidth="1"/>
    <col min="26" max="16384" width="11.1640625" style="9"/>
  </cols>
  <sheetData>
    <row r="1" spans="1:25" ht="39.950000000000003" customHeight="1" thickBot="1">
      <c r="A1" s="97">
        <f>'1.Datos Básicos. Product-Serv'!B5</f>
        <v>0</v>
      </c>
    </row>
    <row r="2" spans="1:25" ht="39.950000000000003" customHeight="1" thickTop="1" thickBot="1">
      <c r="A2" s="97"/>
      <c r="N2" s="53" t="s">
        <v>68</v>
      </c>
      <c r="O2" s="54" t="s">
        <v>14</v>
      </c>
      <c r="P2" s="54" t="s">
        <v>66</v>
      </c>
      <c r="Q2" s="55" t="s">
        <v>67</v>
      </c>
      <c r="R2" s="56" t="s">
        <v>15</v>
      </c>
      <c r="S2" s="242" t="s">
        <v>419</v>
      </c>
      <c r="T2" s="242" t="s">
        <v>420</v>
      </c>
      <c r="U2"/>
    </row>
    <row r="3" spans="1:25" ht="20.100000000000001" customHeight="1" thickTop="1">
      <c r="A3" s="97" t="s">
        <v>88</v>
      </c>
      <c r="G3" s="97"/>
      <c r="N3" s="27">
        <f>'1.Datos Básicos. Product-Serv'!$B$7</f>
        <v>0</v>
      </c>
      <c r="O3" s="41">
        <f>SUM(O11:O22)</f>
        <v>0</v>
      </c>
      <c r="P3" s="41">
        <f>SUM(P11:P22)</f>
        <v>0</v>
      </c>
      <c r="Q3" s="41">
        <f>SUM(Q11:Q22)</f>
        <v>0</v>
      </c>
      <c r="R3" s="44">
        <f>IF($I$6=1,$B$5-Q3,0)</f>
        <v>0</v>
      </c>
      <c r="S3" s="245">
        <f>IF($E$22=0,0,$E$22-$F$34)</f>
        <v>0</v>
      </c>
      <c r="T3" s="245">
        <f>$F$34</f>
        <v>0</v>
      </c>
      <c r="U3" s="246">
        <f t="shared" ref="U3:U8" si="0">SUM(S3:T3)</f>
        <v>0</v>
      </c>
    </row>
    <row r="4" spans="1:25" ht="20.100000000000001" customHeight="1" thickBot="1">
      <c r="N4" s="28">
        <f>'1.Datos Básicos. Product-Serv'!$B$7+1</f>
        <v>1</v>
      </c>
      <c r="O4" s="43">
        <f>SUM(O23:O34)</f>
        <v>0</v>
      </c>
      <c r="P4" s="43">
        <f>SUM(P23:P34)</f>
        <v>0</v>
      </c>
      <c r="Q4" s="43">
        <f>SUM(Q23:Q34)</f>
        <v>0</v>
      </c>
      <c r="R4" s="44">
        <f>IF($I$6=1,$B$5-(Q3+Q4),IF($I$6=2,$B$5-Q4,0))</f>
        <v>0</v>
      </c>
      <c r="S4" s="245">
        <f>IF($E$34=0,0,$E$34-$F$46)</f>
        <v>0</v>
      </c>
      <c r="T4" s="245">
        <f>$F$46</f>
        <v>0</v>
      </c>
      <c r="U4" s="246">
        <f t="shared" si="0"/>
        <v>0</v>
      </c>
    </row>
    <row r="5" spans="1:25" ht="20.100000000000001" customHeight="1" thickTop="1" thickBot="1">
      <c r="A5" s="114" t="s">
        <v>71</v>
      </c>
      <c r="B5" s="140">
        <f>'(0) 3c. Cuadro Renting y L'!R17</f>
        <v>0</v>
      </c>
      <c r="C5" s="57"/>
      <c r="N5" s="28">
        <f>'1.Datos Básicos. Product-Serv'!$B$7+2</f>
        <v>2</v>
      </c>
      <c r="O5" s="43">
        <f>SUM(O35:O46)</f>
        <v>0</v>
      </c>
      <c r="P5" s="43">
        <f>SUM(P35:P46)</f>
        <v>0</v>
      </c>
      <c r="Q5" s="43">
        <f>SUM(Q35:Q46)</f>
        <v>0</v>
      </c>
      <c r="R5" s="44">
        <f>IF($I$6=1,$B$5-(Q3+Q4+Q5),IF($I$6=2,$B$5-(Q4+Q5),IF($I$6=3,$B$5-(Q5),0)))</f>
        <v>0</v>
      </c>
      <c r="S5" s="245">
        <f>IF($E$46=0,0,$E$46-$F$58)</f>
        <v>0</v>
      </c>
      <c r="T5" s="245">
        <f>$F$58</f>
        <v>0</v>
      </c>
      <c r="U5" s="246">
        <f t="shared" si="0"/>
        <v>0</v>
      </c>
    </row>
    <row r="6" spans="1:25" ht="20.100000000000001" customHeight="1" thickBot="1">
      <c r="A6" s="112" t="s">
        <v>9</v>
      </c>
      <c r="B6" s="141">
        <f>'(0) 3c. Cuadro Renting y L'!R18</f>
        <v>0.05</v>
      </c>
      <c r="C6" s="57"/>
      <c r="D6" s="57"/>
      <c r="E6" s="58" t="s">
        <v>73</v>
      </c>
      <c r="F6" s="59"/>
      <c r="G6" s="98"/>
      <c r="H6" s="60"/>
      <c r="I6" s="110" t="str">
        <f>IF('(0) 3c. Cuadro Renting y L'!R17&gt;0,1,"")</f>
        <v/>
      </c>
      <c r="J6" s="61" t="s">
        <v>75</v>
      </c>
      <c r="N6" s="28">
        <f>'1.Datos Básicos. Product-Serv'!$B$7+3</f>
        <v>3</v>
      </c>
      <c r="O6" s="43">
        <f>SUM(O47:O58)</f>
        <v>0</v>
      </c>
      <c r="P6" s="43">
        <f>SUM(P47:P58)</f>
        <v>0</v>
      </c>
      <c r="Q6" s="43">
        <f>SUM(Q47:Q58)</f>
        <v>0</v>
      </c>
      <c r="R6" s="44">
        <f>IF($I$6=1,$B$5-(Q3+Q4+Q5+Q6),IF($I$6=2,$B$5-(Q4+Q5+Q6),IF($I$6=3,$B$5-(Q5+Q6),IF($I$6=4,$B$5-Q6,0))))</f>
        <v>0</v>
      </c>
      <c r="S6" s="245">
        <f>IF($E$58=0,0,$E$58-$F$70)</f>
        <v>0</v>
      </c>
      <c r="T6" s="245">
        <f>$F$70</f>
        <v>0</v>
      </c>
      <c r="U6" s="246">
        <f t="shared" si="0"/>
        <v>0</v>
      </c>
    </row>
    <row r="7" spans="1:25" ht="20.100000000000001" customHeight="1" thickBot="1">
      <c r="A7" s="112" t="s">
        <v>10</v>
      </c>
      <c r="B7" s="142">
        <f>'(0) 3c. Cuadro Renting y L'!R19</f>
        <v>10</v>
      </c>
      <c r="C7" s="104"/>
      <c r="N7" s="29">
        <f>'1.Datos Básicos. Product-Serv'!$B$7+4</f>
        <v>4</v>
      </c>
      <c r="O7" s="48">
        <f>SUM(O59:O70)</f>
        <v>0</v>
      </c>
      <c r="P7" s="48">
        <f>SUM(P59:P70)</f>
        <v>0</v>
      </c>
      <c r="Q7" s="48">
        <f>SUM(Q59:Q70)</f>
        <v>0</v>
      </c>
      <c r="R7" s="49">
        <f>IF($I$6=1,$B$5-(Q3+Q4+Q5+Q6+Q7),IF($I$6=2,$B$5-(Q4+Q5+Q6+Q7),IF($I$6=3,$B$5-(Q5+Q6+Q7),IF($I$6=4,$B$5-(Q6+Q7),IF($I$6=5,$B$5-Q7,0)))))</f>
        <v>0</v>
      </c>
      <c r="S7" s="245">
        <f>IF($E$70=0,0,$E$70-$F$82)</f>
        <v>0</v>
      </c>
      <c r="T7" s="245">
        <f>$F$82</f>
        <v>0</v>
      </c>
      <c r="U7" s="246">
        <f t="shared" si="0"/>
        <v>0</v>
      </c>
    </row>
    <row r="8" spans="1:25" ht="20.100000000000001" customHeight="1" thickTop="1" thickBot="1">
      <c r="A8" s="113" t="s">
        <v>12</v>
      </c>
      <c r="B8" s="143">
        <f>'(0) 3c. Cuadro Renting y L'!R20</f>
        <v>12</v>
      </c>
      <c r="C8" s="57"/>
      <c r="N8" s="228">
        <f>'1.Datos Básicos. Product-Serv'!$B$7+5</f>
        <v>5</v>
      </c>
      <c r="O8" s="48">
        <f>SUM(O71:O82)</f>
        <v>0</v>
      </c>
      <c r="P8" s="48">
        <f>SUM(P71:P82)</f>
        <v>0</v>
      </c>
      <c r="Q8" s="48">
        <f>SUM(Q71:Q82)</f>
        <v>0</v>
      </c>
      <c r="R8" s="49">
        <f>IF($I$6=1,$B$5-(Q3+Q4+Q5+Q6+Q7+Q8),IF($I$6=2,$B$5-(Q4+Q5+Q6+Q7+Q8),IF($I$6=3,$B$5-(Q5+Q6+Q7+Q8),IF($I$6=4,$B$5-(Q6+Q7+Q8),IF($I$6=5,$B$5-(Q7+Q8),IF($I$6=6,$B$5-Q8,0))))))</f>
        <v>0</v>
      </c>
      <c r="S8" s="244"/>
      <c r="T8" s="244"/>
      <c r="U8" s="246">
        <f t="shared" si="0"/>
        <v>0</v>
      </c>
    </row>
    <row r="9" spans="1:25" ht="20.100000000000001" customHeight="1" thickTop="1" thickBot="1">
      <c r="N9" s="51"/>
      <c r="V9" s="251" t="s">
        <v>421</v>
      </c>
      <c r="W9" s="247"/>
      <c r="X9" s="247"/>
      <c r="Y9" s="248"/>
    </row>
    <row r="10" spans="1:25" ht="33" customHeight="1" thickTop="1" thickBot="1">
      <c r="A10" s="83" t="s">
        <v>13</v>
      </c>
      <c r="B10" s="62" t="s">
        <v>14</v>
      </c>
      <c r="C10" s="62" t="s">
        <v>64</v>
      </c>
      <c r="D10" s="62" t="s">
        <v>65</v>
      </c>
      <c r="E10" s="63" t="s">
        <v>15</v>
      </c>
      <c r="F10" s="64"/>
      <c r="H10" s="53" t="s">
        <v>42</v>
      </c>
      <c r="I10" s="62" t="s">
        <v>14</v>
      </c>
      <c r="J10" s="62" t="s">
        <v>66</v>
      </c>
      <c r="K10" s="63" t="s">
        <v>67</v>
      </c>
      <c r="L10" s="64"/>
      <c r="M10" s="84"/>
      <c r="N10" s="53" t="s">
        <v>42</v>
      </c>
      <c r="O10" s="54" t="s">
        <v>14</v>
      </c>
      <c r="P10" s="54" t="s">
        <v>66</v>
      </c>
      <c r="Q10" s="56" t="s">
        <v>67</v>
      </c>
      <c r="V10" s="249" t="s">
        <v>15</v>
      </c>
      <c r="W10" s="242" t="s">
        <v>419</v>
      </c>
      <c r="X10" s="242" t="s">
        <v>420</v>
      </c>
      <c r="Y10" s="250"/>
    </row>
    <row r="11" spans="1:25" ht="15.75" customHeight="1" thickTop="1">
      <c r="A11" s="99">
        <v>1</v>
      </c>
      <c r="B11" s="1341">
        <f t="shared" ref="B11:B70" si="1">IF(E10&gt;0,PMT($B$6/12,$B$7*$B$8,-$B$5,,1),0)</f>
        <v>0</v>
      </c>
      <c r="C11" s="232">
        <f>IF(E10&gt;0,B11-D11,0)+'(0) 3c. Cuadro Renting y L'!R21*0</f>
        <v>0</v>
      </c>
      <c r="D11" s="66">
        <f>B11</f>
        <v>0</v>
      </c>
      <c r="E11" s="67">
        <f>Capital-D11</f>
        <v>0</v>
      </c>
      <c r="G11" s="4200">
        <f>IF($B$5=0,$N$3,IF(O3&gt;0,N3,IF(O4&gt;0,N4,IF(O5&gt;0,N5,IF(O6&gt;0,N6,N7)))))</f>
        <v>0</v>
      </c>
      <c r="H11" s="40" t="s">
        <v>17</v>
      </c>
      <c r="I11" s="41">
        <f>$B$11</f>
        <v>0</v>
      </c>
      <c r="J11" s="41">
        <f>C11</f>
        <v>0</v>
      </c>
      <c r="K11" s="68">
        <f>D11</f>
        <v>0</v>
      </c>
      <c r="M11" s="4200">
        <f>'1.Datos Básicos. Product-Serv'!$B$7</f>
        <v>0</v>
      </c>
      <c r="N11" s="69" t="s">
        <v>17</v>
      </c>
      <c r="O11" s="41">
        <f>IF($I$6=1,I11,0)</f>
        <v>0</v>
      </c>
      <c r="P11" s="41">
        <f t="shared" ref="P11:Q22" si="2">IF($I$6=1,J11,0)</f>
        <v>0</v>
      </c>
      <c r="Q11" s="42">
        <f t="shared" si="2"/>
        <v>0</v>
      </c>
      <c r="V11" s="254">
        <f>R3+'Aux 4.1.Leasing 1'!R3+'Aux 4.2.Leasing 2'!R3+'Aux 4.3.Leasing 3'!R3+'Aux 4.4.Leasing 4'!R3+'Aux 4.5.Leasing 5'!R3</f>
        <v>0</v>
      </c>
      <c r="W11" s="254">
        <f>S3+'Aux 4.1.Leasing 1'!S3+'Aux 4.2.Leasing 2'!S3+'Aux 4.3.Leasing 3'!S3+'Aux 4.4.Leasing 4'!S3+'Aux 4.5.Leasing 5'!S3</f>
        <v>0</v>
      </c>
      <c r="X11" s="254">
        <f>T3+'Aux 4.1.Leasing 1'!T3+'Aux 4.2.Leasing 2'!T3+'Aux 4.3.Leasing 3'!T3+'Aux 4.4.Leasing 4'!T3+'Aux 4.5.Leasing 5'!T3</f>
        <v>0</v>
      </c>
      <c r="Y11" s="255">
        <f>U3+'Aux 4.1.Leasing 1'!U3+'Aux 4.2.Leasing 2'!U3+'Aux 4.3.Leasing 3'!U3+'Aux 4.4.Leasing 4'!U3+'Aux 4.5.Leasing 5'!U3</f>
        <v>0</v>
      </c>
    </row>
    <row r="12" spans="1:25" ht="15.75" customHeight="1">
      <c r="A12" s="100">
        <v>2</v>
      </c>
      <c r="B12" s="1341">
        <f t="shared" si="1"/>
        <v>0</v>
      </c>
      <c r="C12" s="1343">
        <f t="shared" ref="C12:C70" si="3">IF(E11&gt;0,B12-D12,0)</f>
        <v>0</v>
      </c>
      <c r="D12" s="65">
        <f t="shared" ref="D12:D70" si="4">IF(E11&gt;0,B12-(E11*(Interes/12)),0)</f>
        <v>0</v>
      </c>
      <c r="E12" s="68">
        <f>IF(E11&gt;0,IF((E11-D12)&gt;0.01,E11-D12,0),0)</f>
        <v>0</v>
      </c>
      <c r="G12" s="4201"/>
      <c r="H12" s="40" t="s">
        <v>18</v>
      </c>
      <c r="I12" s="43">
        <f>IF($B$8=12,B12,0)</f>
        <v>0</v>
      </c>
      <c r="J12" s="43">
        <f>IF($B$8=12,C12,0)</f>
        <v>0</v>
      </c>
      <c r="K12" s="68">
        <f>IF($B$8=12,D12,0)</f>
        <v>0</v>
      </c>
      <c r="M12" s="4201"/>
      <c r="N12" s="51" t="s">
        <v>18</v>
      </c>
      <c r="O12" s="43">
        <f t="shared" ref="O12:O22" si="5">IF($I$6=1,I12,0)</f>
        <v>0</v>
      </c>
      <c r="P12" s="43">
        <f t="shared" si="2"/>
        <v>0</v>
      </c>
      <c r="Q12" s="44">
        <f t="shared" si="2"/>
        <v>0</v>
      </c>
      <c r="V12" s="254">
        <f>R4+'Aux 4.1.Leasing 1'!R4+'Aux 4.2.Leasing 2'!R4+'Aux 4.3.Leasing 3'!R4+'Aux 4.4.Leasing 4'!R4+'Aux 4.5.Leasing 5'!R4</f>
        <v>0</v>
      </c>
      <c r="W12" s="254">
        <f>S4+'Aux 4.1.Leasing 1'!S4+'Aux 4.2.Leasing 2'!S4+'Aux 4.3.Leasing 3'!S4+'Aux 4.4.Leasing 4'!S4+'Aux 4.5.Leasing 5'!S4</f>
        <v>0</v>
      </c>
      <c r="X12" s="254">
        <f>T4+'Aux 4.1.Leasing 1'!T4+'Aux 4.2.Leasing 2'!T4+'Aux 4.3.Leasing 3'!T4+'Aux 4.4.Leasing 4'!T4+'Aux 4.5.Leasing 5'!T4</f>
        <v>0</v>
      </c>
      <c r="Y12" s="255">
        <f>U4+'Aux 4.1.Leasing 1'!U4+'Aux 4.2.Leasing 2'!U4+'Aux 4.3.Leasing 3'!U4+'Aux 4.4.Leasing 4'!U4+'Aux 4.5.Leasing 5'!U4</f>
        <v>0</v>
      </c>
    </row>
    <row r="13" spans="1:25" ht="15.75" customHeight="1">
      <c r="A13" s="100">
        <v>3</v>
      </c>
      <c r="B13" s="1341">
        <f t="shared" si="1"/>
        <v>0</v>
      </c>
      <c r="C13" s="1343">
        <f t="shared" si="3"/>
        <v>0</v>
      </c>
      <c r="D13" s="65">
        <f t="shared" si="4"/>
        <v>0</v>
      </c>
      <c r="E13" s="68">
        <f>IF(E12&gt;0,IF((E12-D13)&gt;0.01,E12-D13,0),0)</f>
        <v>0</v>
      </c>
      <c r="G13" s="4201"/>
      <c r="H13" s="40" t="s">
        <v>19</v>
      </c>
      <c r="I13" s="43">
        <f>IF($B$8=12,B13,IF($B$8=6,B12,0))</f>
        <v>0</v>
      </c>
      <c r="J13" s="43">
        <f>IF($B$8=12,C13,IF($B$8=6,C12,0))</f>
        <v>0</v>
      </c>
      <c r="K13" s="68">
        <f>IF($B$8=12,D13,IF($B$8=6,D12,0))</f>
        <v>0</v>
      </c>
      <c r="M13" s="4201"/>
      <c r="N13" s="51" t="s">
        <v>19</v>
      </c>
      <c r="O13" s="43">
        <f t="shared" si="5"/>
        <v>0</v>
      </c>
      <c r="P13" s="43">
        <f t="shared" si="2"/>
        <v>0</v>
      </c>
      <c r="Q13" s="44">
        <f t="shared" si="2"/>
        <v>0</v>
      </c>
      <c r="V13" s="254">
        <f>R5+'Aux 4.1.Leasing 1'!R5+'Aux 4.2.Leasing 2'!R5+'Aux 4.3.Leasing 3'!R5+'Aux 4.4.Leasing 4'!R5+'Aux 4.5.Leasing 5'!R5</f>
        <v>0</v>
      </c>
      <c r="W13" s="254">
        <f>S5+'Aux 4.1.Leasing 1'!S5+'Aux 4.2.Leasing 2'!S5+'Aux 4.3.Leasing 3'!S5+'Aux 4.4.Leasing 4'!S5+'Aux 4.5.Leasing 5'!S5</f>
        <v>0</v>
      </c>
      <c r="X13" s="254">
        <f>T5+'Aux 4.1.Leasing 1'!T5+'Aux 4.2.Leasing 2'!T5+'Aux 4.3.Leasing 3'!T5+'Aux 4.4.Leasing 4'!T5+'Aux 4.5.Leasing 5'!T5</f>
        <v>0</v>
      </c>
      <c r="Y13" s="255">
        <f>U5+'Aux 4.1.Leasing 1'!U5+'Aux 4.2.Leasing 2'!U5+'Aux 4.3.Leasing 3'!U5+'Aux 4.4.Leasing 4'!U5+'Aux 4.5.Leasing 5'!U5</f>
        <v>0</v>
      </c>
    </row>
    <row r="14" spans="1:25" ht="15.75" customHeight="1">
      <c r="A14" s="100">
        <v>4</v>
      </c>
      <c r="B14" s="1341">
        <f t="shared" si="1"/>
        <v>0</v>
      </c>
      <c r="C14" s="1343">
        <f t="shared" si="3"/>
        <v>0</v>
      </c>
      <c r="D14" s="65">
        <f t="shared" si="4"/>
        <v>0</v>
      </c>
      <c r="E14" s="68">
        <f>IF(E13&gt;0,IF((E13-D14)&gt;0.01,E13-D14,0),0)</f>
        <v>0</v>
      </c>
      <c r="G14" s="4201"/>
      <c r="H14" s="40" t="s">
        <v>20</v>
      </c>
      <c r="I14" s="43">
        <f>IF($B$8=12,B14,IF($B$8=4,B12,IF($B$8=6,0,IF($B$8=3,0,0))))</f>
        <v>0</v>
      </c>
      <c r="J14" s="43">
        <f>IF($B$8=12,C14,IF($B$8=4,C12,IF($B$8=6,0,IF($B$8=3,0,0))))</f>
        <v>0</v>
      </c>
      <c r="K14" s="68">
        <f>IF($B$8=12,D14,IF($B$8=4,D12,IF($B$8=6,0,IF($B$8=3,0,0))))</f>
        <v>0</v>
      </c>
      <c r="M14" s="4201"/>
      <c r="N14" s="51" t="s">
        <v>20</v>
      </c>
      <c r="O14" s="43">
        <f t="shared" si="5"/>
        <v>0</v>
      </c>
      <c r="P14" s="43">
        <f t="shared" si="2"/>
        <v>0</v>
      </c>
      <c r="Q14" s="44">
        <f t="shared" si="2"/>
        <v>0</v>
      </c>
      <c r="V14" s="254">
        <f>R6+'Aux 4.1.Leasing 1'!R6+'Aux 4.2.Leasing 2'!R6+'Aux 4.3.Leasing 3'!R6+'Aux 4.4.Leasing 4'!R6+'Aux 4.5.Leasing 5'!R6</f>
        <v>0</v>
      </c>
      <c r="W14" s="254">
        <f>S6+'Aux 4.1.Leasing 1'!S6+'Aux 4.2.Leasing 2'!S6+'Aux 4.3.Leasing 3'!S6+'Aux 4.4.Leasing 4'!S6+'Aux 4.5.Leasing 5'!S6</f>
        <v>0</v>
      </c>
      <c r="X14" s="254">
        <f>T6+'Aux 4.1.Leasing 1'!T6+'Aux 4.2.Leasing 2'!T6+'Aux 4.3.Leasing 3'!T6+'Aux 4.4.Leasing 4'!T6+'Aux 4.5.Leasing 5'!T6</f>
        <v>0</v>
      </c>
      <c r="Y14" s="255">
        <f>U6+'Aux 4.1.Leasing 1'!U6+'Aux 4.2.Leasing 2'!U6+'Aux 4.3.Leasing 3'!U6+'Aux 4.4.Leasing 4'!U6+'Aux 4.5.Leasing 5'!U6</f>
        <v>0</v>
      </c>
    </row>
    <row r="15" spans="1:25" ht="15.75" customHeight="1" thickBot="1">
      <c r="A15" s="100">
        <v>5</v>
      </c>
      <c r="B15" s="1341">
        <f t="shared" si="1"/>
        <v>0</v>
      </c>
      <c r="C15" s="1343">
        <f t="shared" si="3"/>
        <v>0</v>
      </c>
      <c r="D15" s="65">
        <f t="shared" si="4"/>
        <v>0</v>
      </c>
      <c r="E15" s="68">
        <f>IF(E14&gt;0,IF((E14-D15)&gt;0.01,E14-D15,0),0)</f>
        <v>0</v>
      </c>
      <c r="G15" s="4201"/>
      <c r="H15" s="40" t="s">
        <v>21</v>
      </c>
      <c r="I15" s="43">
        <f>IF($B$8=12,B15,IF($B$8=4,0,IF($B$8=6,B13,IF($B$8=3,B12,0))))</f>
        <v>0</v>
      </c>
      <c r="J15" s="43">
        <f>IF($B$8=12,C15,IF($B$8=4,0,IF($B$8=6,C13,IF($B$8=3,C12,0))))</f>
        <v>0</v>
      </c>
      <c r="K15" s="68">
        <f>IF($B$8=12,D15,IF($B$8=4,0,IF($B$8=6,D13,IF($B$8=3,D12,0))))</f>
        <v>0</v>
      </c>
      <c r="M15" s="4201"/>
      <c r="N15" s="51" t="s">
        <v>21</v>
      </c>
      <c r="O15" s="43">
        <f t="shared" si="5"/>
        <v>0</v>
      </c>
      <c r="P15" s="43">
        <f t="shared" si="2"/>
        <v>0</v>
      </c>
      <c r="Q15" s="44">
        <f t="shared" si="2"/>
        <v>0</v>
      </c>
      <c r="V15" s="254">
        <f>R7+'Aux 4.1.Leasing 1'!R7+'Aux 4.2.Leasing 2'!R7+'Aux 4.3.Leasing 3'!R7+'Aux 4.4.Leasing 4'!R7+'Aux 4.5.Leasing 5'!R7</f>
        <v>0</v>
      </c>
      <c r="W15" s="254">
        <f>S7+'Aux 4.1.Leasing 1'!S7+'Aux 4.2.Leasing 2'!S7+'Aux 4.3.Leasing 3'!S7+'Aux 4.4.Leasing 4'!S7+'Aux 4.5.Leasing 5'!S7</f>
        <v>0</v>
      </c>
      <c r="X15" s="254">
        <f>T7+'Aux 4.1.Leasing 1'!T7+'Aux 4.2.Leasing 2'!T7+'Aux 4.3.Leasing 3'!T7+'Aux 4.4.Leasing 4'!T7+'Aux 4.5.Leasing 5'!T7</f>
        <v>0</v>
      </c>
      <c r="Y15" s="255">
        <f>U7+'Aux 4.1.Leasing 1'!U7+'Aux 4.2.Leasing 2'!U7+'Aux 4.3.Leasing 3'!U7+'Aux 4.4.Leasing 4'!U7+'Aux 4.5.Leasing 5'!U7</f>
        <v>0</v>
      </c>
    </row>
    <row r="16" spans="1:25" ht="15.75" customHeight="1" thickTop="1" thickBot="1">
      <c r="A16" s="100">
        <v>6</v>
      </c>
      <c r="B16" s="1341">
        <f t="shared" si="1"/>
        <v>0</v>
      </c>
      <c r="C16" s="1343">
        <f t="shared" si="3"/>
        <v>0</v>
      </c>
      <c r="D16" s="65">
        <f t="shared" si="4"/>
        <v>0</v>
      </c>
      <c r="E16" s="68">
        <f>IF(E15&gt;0,IF((E15-D16)&gt;0.01,E15-D16,0),0)</f>
        <v>0</v>
      </c>
      <c r="G16" s="4201"/>
      <c r="H16" s="40" t="s">
        <v>22</v>
      </c>
      <c r="I16" s="43">
        <f>IF($B$8=12,B16,IF($B$8=4,0,IF($B$8=6,0,IF($B$8=3,0,0))))</f>
        <v>0</v>
      </c>
      <c r="J16" s="43">
        <f>IF($B$8=12,C16,IF($B$8=4,0,IF($B$8=6,0,IF($B$8=3,0,0))))</f>
        <v>0</v>
      </c>
      <c r="K16" s="68">
        <f>IF($B$8=12,D16,IF($B$8=4,0,IF($B$8=6,0,IF($B$8=3,0,0))))</f>
        <v>0</v>
      </c>
      <c r="M16" s="4201"/>
      <c r="N16" s="51" t="s">
        <v>22</v>
      </c>
      <c r="O16" s="43">
        <f t="shared" si="5"/>
        <v>0</v>
      </c>
      <c r="P16" s="43">
        <f t="shared" si="2"/>
        <v>0</v>
      </c>
      <c r="Q16" s="44">
        <f t="shared" si="2"/>
        <v>0</v>
      </c>
      <c r="V16" s="252">
        <f>R8+'Aux 4.1.Leasing 1'!R8+'Aux 4.2.Leasing 2'!R8+'Aux 4.3.Leasing 3'!R8+'Aux 4.4.Leasing 4'!R8+'Aux 4.5.Leasing 5'!R8</f>
        <v>0</v>
      </c>
      <c r="W16" s="252">
        <f>S8+'Aux 4.1.Leasing 1'!S8+'Aux 4.2.Leasing 2'!S8+'Aux 4.3.Leasing 3'!S8+'Aux 4.4.Leasing 4'!S8+'Aux 4.5.Leasing 5'!S8</f>
        <v>0</v>
      </c>
      <c r="X16" s="252">
        <f>T8+'Aux 4.1.Leasing 1'!T8+'Aux 4.2.Leasing 2'!T8+'Aux 4.3.Leasing 3'!T8+'Aux 4.4.Leasing 4'!T8+'Aux 4.5.Leasing 5'!T8</f>
        <v>0</v>
      </c>
      <c r="Y16" s="253">
        <f>U8+'Aux 4.1.Leasing 1'!U8+'Aux 4.2.Leasing 2'!U8+'Aux 4.3.Leasing 3'!U8+'Aux 4.4.Leasing 4'!U8+'Aux 4.5.Leasing 5'!U8</f>
        <v>0</v>
      </c>
    </row>
    <row r="17" spans="1:25" ht="15.75" customHeight="1" thickTop="1">
      <c r="A17" s="100">
        <v>7</v>
      </c>
      <c r="B17" s="1341">
        <f t="shared" si="1"/>
        <v>0</v>
      </c>
      <c r="C17" s="1343">
        <f t="shared" si="3"/>
        <v>0</v>
      </c>
      <c r="D17" s="65">
        <f t="shared" si="4"/>
        <v>0</v>
      </c>
      <c r="E17" s="68">
        <f t="shared" ref="E17:E70" si="6">IF(E16&gt;0,IF((E16-D17)&gt;0.01,E16-D17,0),0)</f>
        <v>0</v>
      </c>
      <c r="G17" s="4201"/>
      <c r="H17" s="40" t="s">
        <v>23</v>
      </c>
      <c r="I17" s="43">
        <f>IF($B$8=12,B17,IF($B$8=4,B13,IF($B$8=6,B14,IF($B$8=3,0,IF($B$8=2,B12,0)))))</f>
        <v>0</v>
      </c>
      <c r="J17" s="43">
        <f>IF($B$8=12,C17,IF($B$8=4,C13,IF($B$8=6,C14,IF($B$8=3,0,IF($B$8=2,C12,0)))))</f>
        <v>0</v>
      </c>
      <c r="K17" s="68">
        <f>IF($B$8=12,D17,IF($B$8=4,D13,IF($B$8=6,D14,IF($B$8=3,0,IF($B$8=2,D12,0)))))</f>
        <v>0</v>
      </c>
      <c r="M17" s="4201"/>
      <c r="N17" s="51" t="s">
        <v>23</v>
      </c>
      <c r="O17" s="43">
        <f t="shared" si="5"/>
        <v>0</v>
      </c>
      <c r="P17" s="43">
        <f t="shared" si="2"/>
        <v>0</v>
      </c>
      <c r="Q17" s="44">
        <f t="shared" si="2"/>
        <v>0</v>
      </c>
    </row>
    <row r="18" spans="1:25" ht="15.75" customHeight="1" thickBot="1">
      <c r="A18" s="100">
        <v>8</v>
      </c>
      <c r="B18" s="1341">
        <f t="shared" si="1"/>
        <v>0</v>
      </c>
      <c r="C18" s="1343">
        <f t="shared" si="3"/>
        <v>0</v>
      </c>
      <c r="D18" s="65">
        <f t="shared" si="4"/>
        <v>0</v>
      </c>
      <c r="E18" s="68">
        <f t="shared" si="6"/>
        <v>0</v>
      </c>
      <c r="G18" s="4201"/>
      <c r="H18" s="40" t="s">
        <v>24</v>
      </c>
      <c r="I18" s="43">
        <f>IF($B$8=12,B18,IF($B$8=4,0,IF($B$8=6,0,IF($B$8=3,0,0))))</f>
        <v>0</v>
      </c>
      <c r="J18" s="43">
        <f>IF($B$8=12,C18,IF($B$8=4,0,IF($B$8=6,0,IF($B$8=3,0,0))))</f>
        <v>0</v>
      </c>
      <c r="K18" s="68">
        <f>IF($B$8=12,D18,IF($B$8=4,0,IF($B$8=6,0,IF($B$8=3,0,0))))</f>
        <v>0</v>
      </c>
      <c r="M18" s="4201"/>
      <c r="N18" s="51" t="s">
        <v>24</v>
      </c>
      <c r="O18" s="43">
        <f t="shared" si="5"/>
        <v>0</v>
      </c>
      <c r="P18" s="43">
        <f t="shared" si="2"/>
        <v>0</v>
      </c>
      <c r="Q18" s="44">
        <f t="shared" si="2"/>
        <v>0</v>
      </c>
    </row>
    <row r="19" spans="1:25" ht="15.75" customHeight="1" thickTop="1" thickBot="1">
      <c r="A19" s="100">
        <v>9</v>
      </c>
      <c r="B19" s="1341">
        <f t="shared" si="1"/>
        <v>0</v>
      </c>
      <c r="C19" s="1343">
        <f t="shared" si="3"/>
        <v>0</v>
      </c>
      <c r="D19" s="65">
        <f t="shared" si="4"/>
        <v>0</v>
      </c>
      <c r="E19" s="68">
        <f t="shared" si="6"/>
        <v>0</v>
      </c>
      <c r="G19" s="4201"/>
      <c r="H19" s="40" t="s">
        <v>25</v>
      </c>
      <c r="I19" s="43">
        <f>IF($B$8=12,B19,IF($B$8=4,0,IF($B$8=6,B15,IF($B$8=3,B13,0))))</f>
        <v>0</v>
      </c>
      <c r="J19" s="43">
        <f>IF($B$8=12,C19,IF($B$8=4,0,IF($B$8=6,C15,IF($B$8=3,C13,0))))</f>
        <v>0</v>
      </c>
      <c r="K19" s="68">
        <f>IF($B$8=12,D19,IF($B$8=4,0,IF($B$8=6,D15,IF($B$8=3,D13,0))))</f>
        <v>0</v>
      </c>
      <c r="M19" s="4201"/>
      <c r="N19" s="51" t="s">
        <v>25</v>
      </c>
      <c r="O19" s="43">
        <f t="shared" si="5"/>
        <v>0</v>
      </c>
      <c r="P19" s="43">
        <f t="shared" si="2"/>
        <v>0</v>
      </c>
      <c r="Q19" s="44">
        <f t="shared" si="2"/>
        <v>0</v>
      </c>
      <c r="V19" s="251" t="s">
        <v>524</v>
      </c>
      <c r="W19" s="247"/>
      <c r="X19" s="247"/>
      <c r="Y19" s="248"/>
    </row>
    <row r="20" spans="1:25" ht="15.75" customHeight="1" thickTop="1" thickBot="1">
      <c r="A20" s="100">
        <v>10</v>
      </c>
      <c r="B20" s="1341">
        <f t="shared" si="1"/>
        <v>0</v>
      </c>
      <c r="C20" s="1343">
        <f t="shared" si="3"/>
        <v>0</v>
      </c>
      <c r="D20" s="65">
        <f t="shared" si="4"/>
        <v>0</v>
      </c>
      <c r="E20" s="68">
        <f t="shared" si="6"/>
        <v>0</v>
      </c>
      <c r="G20" s="4201"/>
      <c r="H20" s="40" t="s">
        <v>26</v>
      </c>
      <c r="I20" s="43">
        <f>IF($B$8=12,B20,IF($B$8=4,B14,IF($B$8=6,0,IF($B$8=3,0,0))))</f>
        <v>0</v>
      </c>
      <c r="J20" s="43">
        <f>IF($B$8=12,C20,IF($B$8=4,C14,IF($B$8=6,0,IF($B$8=3,0,0))))</f>
        <v>0</v>
      </c>
      <c r="K20" s="68">
        <f>IF($B$8=12,D20,IF($B$8=4,D14,IF($B$8=6,0,IF($B$8=3,0,0))))</f>
        <v>0</v>
      </c>
      <c r="M20" s="4201"/>
      <c r="N20" s="51" t="s">
        <v>26</v>
      </c>
      <c r="O20" s="43">
        <f t="shared" si="5"/>
        <v>0</v>
      </c>
      <c r="P20" s="43">
        <f t="shared" si="2"/>
        <v>0</v>
      </c>
      <c r="Q20" s="44">
        <f t="shared" si="2"/>
        <v>0</v>
      </c>
      <c r="V20" s="249" t="s">
        <v>15</v>
      </c>
      <c r="W20" s="242" t="s">
        <v>419</v>
      </c>
      <c r="X20" s="242" t="s">
        <v>420</v>
      </c>
      <c r="Y20" s="250"/>
    </row>
    <row r="21" spans="1:25" ht="15.75" customHeight="1" thickTop="1">
      <c r="A21" s="100">
        <v>11</v>
      </c>
      <c r="B21" s="1341">
        <f t="shared" si="1"/>
        <v>0</v>
      </c>
      <c r="C21" s="1343">
        <f t="shared" si="3"/>
        <v>0</v>
      </c>
      <c r="D21" s="65">
        <f t="shared" si="4"/>
        <v>0</v>
      </c>
      <c r="E21" s="68">
        <f t="shared" si="6"/>
        <v>0</v>
      </c>
      <c r="G21" s="4201"/>
      <c r="H21" s="40" t="s">
        <v>27</v>
      </c>
      <c r="I21" s="43">
        <f>IF($B$8=12,B21,IF($B$8=4,0,IF($B$8=6,B16,IF($B$8=3,0,0))))</f>
        <v>0</v>
      </c>
      <c r="J21" s="43">
        <f>IF($B$8=12,C21,IF($B$8=4,0,IF($B$8=6,C16,IF($B$8=3,0,0))))</f>
        <v>0</v>
      </c>
      <c r="K21" s="68">
        <f>IF($B$8=12,D21,IF($B$8=4,0,IF($B$8=6,D16,IF($B$8=3,0,0))))</f>
        <v>0</v>
      </c>
      <c r="M21" s="4201"/>
      <c r="N21" s="51" t="s">
        <v>27</v>
      </c>
      <c r="O21" s="43">
        <f t="shared" si="5"/>
        <v>0</v>
      </c>
      <c r="P21" s="43">
        <f t="shared" si="2"/>
        <v>0</v>
      </c>
      <c r="Q21" s="44">
        <f t="shared" si="2"/>
        <v>0</v>
      </c>
      <c r="V21" s="254">
        <f t="shared" ref="V21:Y26" si="7">R3</f>
        <v>0</v>
      </c>
      <c r="W21" s="254">
        <f t="shared" si="7"/>
        <v>0</v>
      </c>
      <c r="X21" s="254">
        <f t="shared" si="7"/>
        <v>0</v>
      </c>
      <c r="Y21" s="255">
        <f t="shared" si="7"/>
        <v>0</v>
      </c>
    </row>
    <row r="22" spans="1:25" ht="15.75" customHeight="1" thickBot="1">
      <c r="A22" s="101">
        <v>12</v>
      </c>
      <c r="B22" s="1342">
        <f t="shared" si="1"/>
        <v>0</v>
      </c>
      <c r="C22" s="1344">
        <f t="shared" si="3"/>
        <v>0</v>
      </c>
      <c r="D22" s="71">
        <f t="shared" si="4"/>
        <v>0</v>
      </c>
      <c r="E22" s="68">
        <f t="shared" si="6"/>
        <v>0</v>
      </c>
      <c r="F22" s="243">
        <f>SUM(D11:D22)</f>
        <v>0</v>
      </c>
      <c r="G22" s="4202"/>
      <c r="H22" s="73" t="s">
        <v>28</v>
      </c>
      <c r="I22" s="70">
        <f>IF($B$8=12,B22,IF($B$8=4,0,IF($B$8=6,0,IF($B$8=3,0,0))))</f>
        <v>0</v>
      </c>
      <c r="J22" s="70">
        <f>IF($B$8=12,C22,IF($B$8=4,0,IF($B$8=6,0,IF($B$8=3,0,0))))</f>
        <v>0</v>
      </c>
      <c r="K22" s="72">
        <f>IF($B$8=12,D22,IF($B$8=4,0,IF($B$8=6,0,IF($B$8=3,0,0))))</f>
        <v>0</v>
      </c>
      <c r="M22" s="4202"/>
      <c r="N22" s="74" t="s">
        <v>28</v>
      </c>
      <c r="O22" s="45">
        <f t="shared" si="5"/>
        <v>0</v>
      </c>
      <c r="P22" s="45">
        <f t="shared" si="2"/>
        <v>0</v>
      </c>
      <c r="Q22" s="46">
        <f t="shared" si="2"/>
        <v>0</v>
      </c>
      <c r="V22" s="254">
        <f t="shared" si="7"/>
        <v>0</v>
      </c>
      <c r="W22" s="254">
        <f t="shared" si="7"/>
        <v>0</v>
      </c>
      <c r="X22" s="254">
        <f t="shared" si="7"/>
        <v>0</v>
      </c>
      <c r="Y22" s="255">
        <f t="shared" si="7"/>
        <v>0</v>
      </c>
    </row>
    <row r="23" spans="1:25" ht="15.75" customHeight="1">
      <c r="A23" s="100">
        <v>13</v>
      </c>
      <c r="B23" s="43">
        <f t="shared" si="1"/>
        <v>0</v>
      </c>
      <c r="C23" s="65">
        <f t="shared" si="3"/>
        <v>0</v>
      </c>
      <c r="D23" s="65">
        <f t="shared" si="4"/>
        <v>0</v>
      </c>
      <c r="E23" s="109">
        <f t="shared" si="6"/>
        <v>0</v>
      </c>
      <c r="G23" s="4200">
        <f>G11+1</f>
        <v>1</v>
      </c>
      <c r="H23" s="40" t="s">
        <v>17</v>
      </c>
      <c r="I23" s="43">
        <f>IF($B$8=12,B23,IF($B$8=4,B15,IF($B$8=6,B17,IF($B$8=3,B14,IF($B$8=2,B13,IF($B$8,B12,0))))))</f>
        <v>0</v>
      </c>
      <c r="J23" s="43">
        <f>IF($B$8=12,C23,IF($B$8=4,C15,IF($B$8=6,C17,IF($B$8=3,C14,IF($B$8=2,C13,IF($B$8,C12,0))))))</f>
        <v>0</v>
      </c>
      <c r="K23" s="44">
        <f>IF($B$8=12,D23,IF($B$8=4,D15,IF($B$8=6,D17,IF($B$8=3,D14,IF($B$8=2,D13,IF($B$8,D12,0))))))</f>
        <v>0</v>
      </c>
      <c r="M23" s="4200">
        <f>'1.Datos Básicos. Product-Serv'!$B$7+1</f>
        <v>1</v>
      </c>
      <c r="N23" s="51" t="s">
        <v>17</v>
      </c>
      <c r="O23" s="43">
        <f>IF($I$6=2,I11,IF($I$6=1,I23,0))</f>
        <v>0</v>
      </c>
      <c r="P23" s="43">
        <f t="shared" ref="P23:Q34" si="8">IF($I$6=2,J11,IF($I$6=1,J23,0))</f>
        <v>0</v>
      </c>
      <c r="Q23" s="44">
        <f t="shared" si="8"/>
        <v>0</v>
      </c>
      <c r="V23" s="254">
        <f t="shared" si="7"/>
        <v>0</v>
      </c>
      <c r="W23" s="254">
        <f t="shared" si="7"/>
        <v>0</v>
      </c>
      <c r="X23" s="254">
        <f t="shared" si="7"/>
        <v>0</v>
      </c>
      <c r="Y23" s="255">
        <f t="shared" si="7"/>
        <v>0</v>
      </c>
    </row>
    <row r="24" spans="1:25" ht="15.75" customHeight="1">
      <c r="A24" s="100">
        <v>14</v>
      </c>
      <c r="B24" s="43">
        <f t="shared" si="1"/>
        <v>0</v>
      </c>
      <c r="C24" s="65">
        <f t="shared" si="3"/>
        <v>0</v>
      </c>
      <c r="D24" s="65">
        <f t="shared" si="4"/>
        <v>0</v>
      </c>
      <c r="E24" s="68">
        <f t="shared" si="6"/>
        <v>0</v>
      </c>
      <c r="G24" s="4201"/>
      <c r="H24" s="40" t="s">
        <v>18</v>
      </c>
      <c r="I24" s="43">
        <f>IF($B$8=12,B24,0)</f>
        <v>0</v>
      </c>
      <c r="J24" s="43">
        <f>IF($B$8=12,C24,0)</f>
        <v>0</v>
      </c>
      <c r="K24" s="44">
        <f>IF($B$8=12,D24,0)</f>
        <v>0</v>
      </c>
      <c r="M24" s="4201"/>
      <c r="N24" s="51" t="s">
        <v>18</v>
      </c>
      <c r="O24" s="43">
        <f t="shared" ref="O24:O34" si="9">IF($I$6=2,I12,IF($I$6=1,I24,0))</f>
        <v>0</v>
      </c>
      <c r="P24" s="43">
        <f t="shared" si="8"/>
        <v>0</v>
      </c>
      <c r="Q24" s="44">
        <f t="shared" si="8"/>
        <v>0</v>
      </c>
      <c r="V24" s="254">
        <f t="shared" si="7"/>
        <v>0</v>
      </c>
      <c r="W24" s="254">
        <f t="shared" si="7"/>
        <v>0</v>
      </c>
      <c r="X24" s="254">
        <f t="shared" si="7"/>
        <v>0</v>
      </c>
      <c r="Y24" s="255">
        <f t="shared" si="7"/>
        <v>0</v>
      </c>
    </row>
    <row r="25" spans="1:25" ht="15.75" customHeight="1" thickBot="1">
      <c r="A25" s="100">
        <v>15</v>
      </c>
      <c r="B25" s="43">
        <f t="shared" si="1"/>
        <v>0</v>
      </c>
      <c r="C25" s="65">
        <f t="shared" si="3"/>
        <v>0</v>
      </c>
      <c r="D25" s="65">
        <f t="shared" si="4"/>
        <v>0</v>
      </c>
      <c r="E25" s="68">
        <f t="shared" si="6"/>
        <v>0</v>
      </c>
      <c r="G25" s="4201"/>
      <c r="H25" s="40" t="s">
        <v>19</v>
      </c>
      <c r="I25" s="43">
        <f>IF($B$8=12,B25,IF($B$8=6,B18,0))</f>
        <v>0</v>
      </c>
      <c r="J25" s="43">
        <f>IF($B$8=12,C25,IF($B$8=6,C18,0))</f>
        <v>0</v>
      </c>
      <c r="K25" s="44">
        <f>IF($B$8=12,D25,IF($B$8=6,D18,0))</f>
        <v>0</v>
      </c>
      <c r="M25" s="4201"/>
      <c r="N25" s="51" t="s">
        <v>19</v>
      </c>
      <c r="O25" s="43">
        <f t="shared" si="9"/>
        <v>0</v>
      </c>
      <c r="P25" s="43">
        <f t="shared" si="8"/>
        <v>0</v>
      </c>
      <c r="Q25" s="44">
        <f t="shared" si="8"/>
        <v>0</v>
      </c>
      <c r="V25" s="254">
        <f t="shared" si="7"/>
        <v>0</v>
      </c>
      <c r="W25" s="254">
        <f t="shared" si="7"/>
        <v>0</v>
      </c>
      <c r="X25" s="254">
        <f t="shared" si="7"/>
        <v>0</v>
      </c>
      <c r="Y25" s="255">
        <f t="shared" si="7"/>
        <v>0</v>
      </c>
    </row>
    <row r="26" spans="1:25" ht="15.75" customHeight="1" thickTop="1" thickBot="1">
      <c r="A26" s="100">
        <v>16</v>
      </c>
      <c r="B26" s="43">
        <f t="shared" si="1"/>
        <v>0</v>
      </c>
      <c r="C26" s="65">
        <f t="shared" si="3"/>
        <v>0</v>
      </c>
      <c r="D26" s="65">
        <f t="shared" si="4"/>
        <v>0</v>
      </c>
      <c r="E26" s="68">
        <f t="shared" si="6"/>
        <v>0</v>
      </c>
      <c r="G26" s="4201"/>
      <c r="H26" s="40" t="s">
        <v>20</v>
      </c>
      <c r="I26" s="43">
        <f>IF($B$8=12,B26,IF($B$8=4,B16,IF($B$8=6,0,IF($B$8=3,0,0))))</f>
        <v>0</v>
      </c>
      <c r="J26" s="43">
        <f>IF($B$8=12,C26,IF($B$8=4,C16,IF($B$8=6,0,IF($B$8=3,0,0))))</f>
        <v>0</v>
      </c>
      <c r="K26" s="44">
        <f>IF($B$8=12,D26,IF($B$8=4,D16,IF($B$8=6,0,IF($B$8=3,0,0))))</f>
        <v>0</v>
      </c>
      <c r="M26" s="4201"/>
      <c r="N26" s="51" t="s">
        <v>20</v>
      </c>
      <c r="O26" s="43">
        <f t="shared" si="9"/>
        <v>0</v>
      </c>
      <c r="P26" s="43">
        <f t="shared" si="8"/>
        <v>0</v>
      </c>
      <c r="Q26" s="44">
        <f t="shared" si="8"/>
        <v>0</v>
      </c>
      <c r="V26" s="252">
        <f t="shared" si="7"/>
        <v>0</v>
      </c>
      <c r="W26" s="252">
        <f t="shared" si="7"/>
        <v>0</v>
      </c>
      <c r="X26" s="252">
        <f t="shared" si="7"/>
        <v>0</v>
      </c>
      <c r="Y26" s="253">
        <f t="shared" si="7"/>
        <v>0</v>
      </c>
    </row>
    <row r="27" spans="1:25" ht="15.75" customHeight="1" thickTop="1">
      <c r="A27" s="100">
        <v>17</v>
      </c>
      <c r="B27" s="43">
        <f t="shared" si="1"/>
        <v>0</v>
      </c>
      <c r="C27" s="65">
        <f t="shared" si="3"/>
        <v>0</v>
      </c>
      <c r="D27" s="65">
        <f t="shared" si="4"/>
        <v>0</v>
      </c>
      <c r="E27" s="68">
        <f t="shared" si="6"/>
        <v>0</v>
      </c>
      <c r="G27" s="4201"/>
      <c r="H27" s="40" t="s">
        <v>21</v>
      </c>
      <c r="I27" s="43">
        <f>IF($B$8=12,B27,IF($B$8=4,0,IF($B$8=6,B19,IF($B$8=3,B15,0))))</f>
        <v>0</v>
      </c>
      <c r="J27" s="43">
        <f>IF($B$8=12,C27,IF($B$8=4,0,IF($B$8=6,C19,IF($B$8=3,C15,0))))</f>
        <v>0</v>
      </c>
      <c r="K27" s="44">
        <f>IF($B$8=12,D27,IF($B$8=4,0,IF($B$8=6,D19,IF($B$8=3,D15,0))))</f>
        <v>0</v>
      </c>
      <c r="M27" s="4201"/>
      <c r="N27" s="51" t="s">
        <v>21</v>
      </c>
      <c r="O27" s="43">
        <f t="shared" si="9"/>
        <v>0</v>
      </c>
      <c r="P27" s="43">
        <f t="shared" si="8"/>
        <v>0</v>
      </c>
      <c r="Q27" s="44">
        <f t="shared" si="8"/>
        <v>0</v>
      </c>
    </row>
    <row r="28" spans="1:25" ht="15.75" customHeight="1">
      <c r="A28" s="100">
        <v>18</v>
      </c>
      <c r="B28" s="43">
        <f t="shared" si="1"/>
        <v>0</v>
      </c>
      <c r="C28" s="65">
        <f t="shared" si="3"/>
        <v>0</v>
      </c>
      <c r="D28" s="65">
        <f t="shared" si="4"/>
        <v>0</v>
      </c>
      <c r="E28" s="68">
        <f t="shared" si="6"/>
        <v>0</v>
      </c>
      <c r="G28" s="4201"/>
      <c r="H28" s="40" t="s">
        <v>22</v>
      </c>
      <c r="I28" s="43">
        <f>IF($B$8=12,B28,IF($B$8=4,0,IF($B$8=6,0,IF($B$8=3,0,0))))</f>
        <v>0</v>
      </c>
      <c r="J28" s="43">
        <f>IF($B$8=12,C28,IF($B$8=4,0,IF($B$8=6,0,IF($B$8=3,0,0))))</f>
        <v>0</v>
      </c>
      <c r="K28" s="44">
        <f>IF($B$8=12,D28,IF($B$8=4,0,IF($B$8=6,0,IF($B$8=3,0,0))))</f>
        <v>0</v>
      </c>
      <c r="M28" s="4201"/>
      <c r="N28" s="51" t="s">
        <v>22</v>
      </c>
      <c r="O28" s="43">
        <f t="shared" si="9"/>
        <v>0</v>
      </c>
      <c r="P28" s="43">
        <f t="shared" si="8"/>
        <v>0</v>
      </c>
      <c r="Q28" s="44">
        <f t="shared" si="8"/>
        <v>0</v>
      </c>
    </row>
    <row r="29" spans="1:25" ht="15.75" customHeight="1">
      <c r="A29" s="100">
        <v>19</v>
      </c>
      <c r="B29" s="43">
        <f t="shared" si="1"/>
        <v>0</v>
      </c>
      <c r="C29" s="65">
        <f t="shared" si="3"/>
        <v>0</v>
      </c>
      <c r="D29" s="65">
        <f t="shared" si="4"/>
        <v>0</v>
      </c>
      <c r="E29" s="68">
        <f t="shared" si="6"/>
        <v>0</v>
      </c>
      <c r="G29" s="4201"/>
      <c r="H29" s="40" t="s">
        <v>23</v>
      </c>
      <c r="I29" s="43">
        <f>IF($B$8=12,B29,IF($B$8=4,B17,IF($B$8=6,B20,IF($B$8=3,0,IF($B$8=2,B14,0)))))</f>
        <v>0</v>
      </c>
      <c r="J29" s="43">
        <f>IF($B$8=12,C29,IF($B$8=4,C17,IF($B$8=6,C20,IF($B$8=3,0,IF($B$8=2,C14,0)))))</f>
        <v>0</v>
      </c>
      <c r="K29" s="44">
        <f>IF($B$8=12,D29,IF($B$8=4,D17,IF($B$8=6,D20,IF($B$8=3,0,IF($B$8=2,D14,0)))))</f>
        <v>0</v>
      </c>
      <c r="M29" s="4201"/>
      <c r="N29" s="51" t="s">
        <v>23</v>
      </c>
      <c r="O29" s="43">
        <f t="shared" si="9"/>
        <v>0</v>
      </c>
      <c r="P29" s="43">
        <f t="shared" si="8"/>
        <v>0</v>
      </c>
      <c r="Q29" s="44">
        <f t="shared" si="8"/>
        <v>0</v>
      </c>
    </row>
    <row r="30" spans="1:25" ht="15.75" customHeight="1">
      <c r="A30" s="100">
        <v>20</v>
      </c>
      <c r="B30" s="43">
        <f t="shared" si="1"/>
        <v>0</v>
      </c>
      <c r="C30" s="65">
        <f t="shared" si="3"/>
        <v>0</v>
      </c>
      <c r="D30" s="65">
        <f t="shared" si="4"/>
        <v>0</v>
      </c>
      <c r="E30" s="68">
        <f t="shared" si="6"/>
        <v>0</v>
      </c>
      <c r="G30" s="4201"/>
      <c r="H30" s="40" t="s">
        <v>24</v>
      </c>
      <c r="I30" s="43">
        <f>IF($B$8=12,B30,IF($B$8=4,0,IF($B$8=6,0,IF($B$8=3,0,0))))</f>
        <v>0</v>
      </c>
      <c r="J30" s="43">
        <f>IF($B$8=12,C30,IF($B$8=4,0,IF($B$8=6,0,IF($B$8=3,0,0))))</f>
        <v>0</v>
      </c>
      <c r="K30" s="44">
        <f>IF($B$8=12,D30,IF($B$8=4,0,IF($B$8=6,0,IF($B$8=3,0,0))))</f>
        <v>0</v>
      </c>
      <c r="M30" s="4201"/>
      <c r="N30" s="51" t="s">
        <v>24</v>
      </c>
      <c r="O30" s="43">
        <f t="shared" si="9"/>
        <v>0</v>
      </c>
      <c r="P30" s="43">
        <f t="shared" si="8"/>
        <v>0</v>
      </c>
      <c r="Q30" s="44">
        <f t="shared" si="8"/>
        <v>0</v>
      </c>
    </row>
    <row r="31" spans="1:25" ht="15.75" customHeight="1">
      <c r="A31" s="100">
        <v>21</v>
      </c>
      <c r="B31" s="43">
        <f t="shared" si="1"/>
        <v>0</v>
      </c>
      <c r="C31" s="65">
        <f t="shared" si="3"/>
        <v>0</v>
      </c>
      <c r="D31" s="65">
        <f t="shared" si="4"/>
        <v>0</v>
      </c>
      <c r="E31" s="68">
        <f t="shared" si="6"/>
        <v>0</v>
      </c>
      <c r="G31" s="4201"/>
      <c r="H31" s="40" t="s">
        <v>25</v>
      </c>
      <c r="I31" s="43">
        <f>IF($B$8=12,B31,IF($B$8=4,0,IF($B$8=6,B21,IF($B$8=3,B16,0))))</f>
        <v>0</v>
      </c>
      <c r="J31" s="43">
        <f>IF($B$8=12,C31,IF($B$8=4,0,IF($B$8=6,C21,IF($B$8=3,C16,0))))</f>
        <v>0</v>
      </c>
      <c r="K31" s="44">
        <f>IF($B$8=12,D31,IF($B$8=4,0,IF($B$8=6,D21,IF($B$8=3,D16,0))))</f>
        <v>0</v>
      </c>
      <c r="M31" s="4201"/>
      <c r="N31" s="51" t="s">
        <v>25</v>
      </c>
      <c r="O31" s="43">
        <f t="shared" si="9"/>
        <v>0</v>
      </c>
      <c r="P31" s="43">
        <f t="shared" si="8"/>
        <v>0</v>
      </c>
      <c r="Q31" s="44">
        <f t="shared" si="8"/>
        <v>0</v>
      </c>
    </row>
    <row r="32" spans="1:25" ht="15.75" customHeight="1">
      <c r="A32" s="100">
        <v>22</v>
      </c>
      <c r="B32" s="43">
        <f t="shared" si="1"/>
        <v>0</v>
      </c>
      <c r="C32" s="65">
        <f t="shared" si="3"/>
        <v>0</v>
      </c>
      <c r="D32" s="65">
        <f t="shared" si="4"/>
        <v>0</v>
      </c>
      <c r="E32" s="68">
        <f t="shared" si="6"/>
        <v>0</v>
      </c>
      <c r="G32" s="4201"/>
      <c r="H32" s="40" t="s">
        <v>26</v>
      </c>
      <c r="I32" s="43">
        <f>IF($B$8=12,B32,IF($B$8=4,B18,IF($B$8=6,0,IF($B$8=3,0,0))))</f>
        <v>0</v>
      </c>
      <c r="J32" s="43">
        <f>IF($B$8=12,C32,IF($B$8=4,C18,IF($B$8=6,0,IF($B$8=3,0,0))))</f>
        <v>0</v>
      </c>
      <c r="K32" s="44">
        <f>IF($B$8=12,D32,IF($B$8=4,D18,IF($B$8=6,0,IF($B$8=3,0,0))))</f>
        <v>0</v>
      </c>
      <c r="M32" s="4201"/>
      <c r="N32" s="51" t="s">
        <v>26</v>
      </c>
      <c r="O32" s="43">
        <f t="shared" si="9"/>
        <v>0</v>
      </c>
      <c r="P32" s="43">
        <f t="shared" si="8"/>
        <v>0</v>
      </c>
      <c r="Q32" s="44">
        <f t="shared" si="8"/>
        <v>0</v>
      </c>
    </row>
    <row r="33" spans="1:17" ht="15.75" customHeight="1">
      <c r="A33" s="100">
        <v>23</v>
      </c>
      <c r="B33" s="43">
        <f t="shared" si="1"/>
        <v>0</v>
      </c>
      <c r="C33" s="65">
        <f t="shared" si="3"/>
        <v>0</v>
      </c>
      <c r="D33" s="65">
        <f t="shared" si="4"/>
        <v>0</v>
      </c>
      <c r="E33" s="68">
        <f t="shared" si="6"/>
        <v>0</v>
      </c>
      <c r="G33" s="4201"/>
      <c r="H33" s="40" t="s">
        <v>27</v>
      </c>
      <c r="I33" s="43">
        <f>IF($B$8=12,B33,IF($B$8=4,0,IF($B$8=6,B22,IF($B$8=3,0,0))))</f>
        <v>0</v>
      </c>
      <c r="J33" s="43">
        <f>IF($B$8=12,C33,IF($B$8=4,0,IF($B$8=6,C22,IF($B$8=3,0,0))))</f>
        <v>0</v>
      </c>
      <c r="K33" s="44">
        <f>IF($B$8=12,D33,IF($B$8=4,0,IF($B$8=6,D22,IF($B$8=3,0,0))))</f>
        <v>0</v>
      </c>
      <c r="M33" s="4201"/>
      <c r="N33" s="51" t="s">
        <v>27</v>
      </c>
      <c r="O33" s="43">
        <f t="shared" si="9"/>
        <v>0</v>
      </c>
      <c r="P33" s="43">
        <f t="shared" si="8"/>
        <v>0</v>
      </c>
      <c r="Q33" s="44">
        <f t="shared" si="8"/>
        <v>0</v>
      </c>
    </row>
    <row r="34" spans="1:17" ht="15.75" customHeight="1" thickBot="1">
      <c r="A34" s="101">
        <v>24</v>
      </c>
      <c r="B34" s="70">
        <f t="shared" si="1"/>
        <v>0</v>
      </c>
      <c r="C34" s="71">
        <f t="shared" si="3"/>
        <v>0</v>
      </c>
      <c r="D34" s="71">
        <f t="shared" si="4"/>
        <v>0</v>
      </c>
      <c r="E34" s="68">
        <f t="shared" si="6"/>
        <v>0</v>
      </c>
      <c r="F34" s="243">
        <f>SUM(D23:D34)</f>
        <v>0</v>
      </c>
      <c r="G34" s="4202"/>
      <c r="H34" s="73" t="s">
        <v>28</v>
      </c>
      <c r="I34" s="70">
        <f>IF($B$8=12,B34,IF($B$8=4,0,IF($B$8=6,0,IF($B$8=3,0,0))))</f>
        <v>0</v>
      </c>
      <c r="J34" s="70">
        <f>IF($B$8=12,C34,IF($B$8=4,0,IF($B$8=6,0,IF($B$8=3,0,0))))</f>
        <v>0</v>
      </c>
      <c r="K34" s="75">
        <f>IF($B$8=12,D34,IF($B$8=4,0,IF($B$8=6,0,IF($B$8=3,0,0))))</f>
        <v>0</v>
      </c>
      <c r="M34" s="4202"/>
      <c r="N34" s="74" t="s">
        <v>28</v>
      </c>
      <c r="O34" s="43">
        <f t="shared" si="9"/>
        <v>0</v>
      </c>
      <c r="P34" s="43">
        <f t="shared" si="8"/>
        <v>0</v>
      </c>
      <c r="Q34" s="46">
        <f t="shared" si="8"/>
        <v>0</v>
      </c>
    </row>
    <row r="35" spans="1:17" ht="15.75" customHeight="1">
      <c r="A35" s="100">
        <v>25</v>
      </c>
      <c r="B35" s="43">
        <f t="shared" si="1"/>
        <v>0</v>
      </c>
      <c r="C35" s="65">
        <f t="shared" si="3"/>
        <v>0</v>
      </c>
      <c r="D35" s="65">
        <f t="shared" si="4"/>
        <v>0</v>
      </c>
      <c r="E35" s="109">
        <f t="shared" si="6"/>
        <v>0</v>
      </c>
      <c r="G35" s="4200">
        <f>G23+1</f>
        <v>2</v>
      </c>
      <c r="H35" s="40" t="s">
        <v>17</v>
      </c>
      <c r="I35" s="43">
        <f>IF($B$8=12,B35,IF($B$8=4,B19,IF($B$8=6,B23,IF($B$8=3,B17,IF($B$8=2,B15,IF($B$8=1,B13,0))))))</f>
        <v>0</v>
      </c>
      <c r="J35" s="43">
        <f>IF($B$8=12,C35,IF($B$8=4,C19,IF($B$8=6,C23,IF($B$8=3,C17,IF($B$8=2,C15,IF($B$8=1,C13,0))))))</f>
        <v>0</v>
      </c>
      <c r="K35" s="44">
        <f>IF($B$8=12,D35,IF($B$8=4,D19,IF($B$8=6,D23,IF($B$8=3,D17,IF($B$8=2,D15,IF($B$8=1,D13,0))))))</f>
        <v>0</v>
      </c>
      <c r="M35" s="4200">
        <f>'1.Datos Básicos. Product-Serv'!$B$7+2</f>
        <v>2</v>
      </c>
      <c r="N35" s="51" t="s">
        <v>17</v>
      </c>
      <c r="O35" s="76">
        <f>IF($I$6=3,I11,IF($I$6=2,I23,IF($I$6=1,I35,0)))</f>
        <v>0</v>
      </c>
      <c r="P35" s="76">
        <f t="shared" ref="P35:Q46" si="10">IF($I$6=3,J11,IF($I$6=2,J23,IF($I$6=1,J35,0)))</f>
        <v>0</v>
      </c>
      <c r="Q35" s="77">
        <f t="shared" si="10"/>
        <v>0</v>
      </c>
    </row>
    <row r="36" spans="1:17" ht="15.75" customHeight="1">
      <c r="A36" s="100">
        <v>26</v>
      </c>
      <c r="B36" s="43">
        <f t="shared" si="1"/>
        <v>0</v>
      </c>
      <c r="C36" s="65">
        <f t="shared" si="3"/>
        <v>0</v>
      </c>
      <c r="D36" s="65">
        <f t="shared" si="4"/>
        <v>0</v>
      </c>
      <c r="E36" s="68">
        <f t="shared" si="6"/>
        <v>0</v>
      </c>
      <c r="G36" s="4201"/>
      <c r="H36" s="40" t="s">
        <v>18</v>
      </c>
      <c r="I36" s="43">
        <f>IF($B$8=12,B36,0)</f>
        <v>0</v>
      </c>
      <c r="J36" s="43">
        <f>IF($B$8=12,C36,0)</f>
        <v>0</v>
      </c>
      <c r="K36" s="44">
        <f>IF($B$8=12,D36,0)</f>
        <v>0</v>
      </c>
      <c r="M36" s="4201"/>
      <c r="N36" s="51" t="s">
        <v>18</v>
      </c>
      <c r="O36" s="43">
        <f t="shared" ref="O36:O46" si="11">IF($I$6=3,I12,IF($I$6=2,I24,IF($I$6=1,I36,0)))</f>
        <v>0</v>
      </c>
      <c r="P36" s="43">
        <f t="shared" si="10"/>
        <v>0</v>
      </c>
      <c r="Q36" s="44">
        <f t="shared" si="10"/>
        <v>0</v>
      </c>
    </row>
    <row r="37" spans="1:17" ht="15.75" customHeight="1">
      <c r="A37" s="100">
        <v>27</v>
      </c>
      <c r="B37" s="43">
        <f t="shared" si="1"/>
        <v>0</v>
      </c>
      <c r="C37" s="65">
        <f t="shared" si="3"/>
        <v>0</v>
      </c>
      <c r="D37" s="65">
        <f t="shared" si="4"/>
        <v>0</v>
      </c>
      <c r="E37" s="68">
        <f t="shared" si="6"/>
        <v>0</v>
      </c>
      <c r="G37" s="4201"/>
      <c r="H37" s="40" t="s">
        <v>19</v>
      </c>
      <c r="I37" s="43">
        <f>IF($B$8=12,B37,IF($B$8=6,B24,0))</f>
        <v>0</v>
      </c>
      <c r="J37" s="43">
        <f>IF($B$8=12,C37,IF($B$8=6,C24,0))</f>
        <v>0</v>
      </c>
      <c r="K37" s="44">
        <f>IF($B$8=12,D37,IF($B$8=6,D24,0))</f>
        <v>0</v>
      </c>
      <c r="M37" s="4201"/>
      <c r="N37" s="51" t="s">
        <v>19</v>
      </c>
      <c r="O37" s="43">
        <f t="shared" si="11"/>
        <v>0</v>
      </c>
      <c r="P37" s="43">
        <f t="shared" si="10"/>
        <v>0</v>
      </c>
      <c r="Q37" s="44">
        <f t="shared" si="10"/>
        <v>0</v>
      </c>
    </row>
    <row r="38" spans="1:17" ht="15.75" customHeight="1">
      <c r="A38" s="100">
        <v>28</v>
      </c>
      <c r="B38" s="43">
        <f t="shared" si="1"/>
        <v>0</v>
      </c>
      <c r="C38" s="65">
        <f t="shared" si="3"/>
        <v>0</v>
      </c>
      <c r="D38" s="65">
        <f t="shared" si="4"/>
        <v>0</v>
      </c>
      <c r="E38" s="68">
        <f t="shared" si="6"/>
        <v>0</v>
      </c>
      <c r="G38" s="4201"/>
      <c r="H38" s="40" t="s">
        <v>20</v>
      </c>
      <c r="I38" s="43">
        <f>IF($B$8=12,B38,IF($B$8=4,B20,IF($B$8=6,0,IF($B$8=3,0,0))))</f>
        <v>0</v>
      </c>
      <c r="J38" s="43">
        <f>IF($B$8=12,C38,IF($B$8=4,C20,IF($B$8=6,0,IF($B$8=3,0,0))))</f>
        <v>0</v>
      </c>
      <c r="K38" s="44">
        <f>IF($B$8=12,D38,IF($B$8=4,D20,IF($B$8=6,0,IF($B$8=3,0,0))))</f>
        <v>0</v>
      </c>
      <c r="M38" s="4201"/>
      <c r="N38" s="51" t="s">
        <v>20</v>
      </c>
      <c r="O38" s="43">
        <f t="shared" si="11"/>
        <v>0</v>
      </c>
      <c r="P38" s="43">
        <f t="shared" si="10"/>
        <v>0</v>
      </c>
      <c r="Q38" s="44">
        <f t="shared" si="10"/>
        <v>0</v>
      </c>
    </row>
    <row r="39" spans="1:17" ht="15.75" customHeight="1">
      <c r="A39" s="100">
        <v>29</v>
      </c>
      <c r="B39" s="43">
        <f t="shared" si="1"/>
        <v>0</v>
      </c>
      <c r="C39" s="65">
        <f t="shared" si="3"/>
        <v>0</v>
      </c>
      <c r="D39" s="65">
        <f t="shared" si="4"/>
        <v>0</v>
      </c>
      <c r="E39" s="68">
        <f t="shared" si="6"/>
        <v>0</v>
      </c>
      <c r="G39" s="4201"/>
      <c r="H39" s="40" t="s">
        <v>21</v>
      </c>
      <c r="I39" s="43">
        <f>IF($B$8=12,B39,IF($B$8=4,0,IF($B$8=6,B25,IF($B$8=3,B18,0))))</f>
        <v>0</v>
      </c>
      <c r="J39" s="43">
        <f>IF($B$8=12,C39,IF($B$8=4,0,IF($B$8=6,C25,IF($B$8=3,C18,0))))</f>
        <v>0</v>
      </c>
      <c r="K39" s="44">
        <f>IF($B$8=12,D39,IF($B$8=4,0,IF($B$8=6,D25,IF($B$8=3,D18,0))))</f>
        <v>0</v>
      </c>
      <c r="M39" s="4201"/>
      <c r="N39" s="51" t="s">
        <v>21</v>
      </c>
      <c r="O39" s="43">
        <f t="shared" si="11"/>
        <v>0</v>
      </c>
      <c r="P39" s="43">
        <f t="shared" si="10"/>
        <v>0</v>
      </c>
      <c r="Q39" s="44">
        <f t="shared" si="10"/>
        <v>0</v>
      </c>
    </row>
    <row r="40" spans="1:17" ht="15.75" customHeight="1">
      <c r="A40" s="100">
        <v>30</v>
      </c>
      <c r="B40" s="43">
        <f t="shared" si="1"/>
        <v>0</v>
      </c>
      <c r="C40" s="65">
        <f t="shared" si="3"/>
        <v>0</v>
      </c>
      <c r="D40" s="65">
        <f t="shared" si="4"/>
        <v>0</v>
      </c>
      <c r="E40" s="68">
        <f t="shared" si="6"/>
        <v>0</v>
      </c>
      <c r="G40" s="4201"/>
      <c r="H40" s="40" t="s">
        <v>22</v>
      </c>
      <c r="I40" s="43">
        <f>IF($B$8=12,B40,IF($B$8=4,0,IF($B$8=6,0,IF($B$8=3,0,0))))</f>
        <v>0</v>
      </c>
      <c r="J40" s="43">
        <f>IF($B$8=12,C40,IF($B$8=4,0,IF($B$8=6,0,IF($B$8=3,0,0))))</f>
        <v>0</v>
      </c>
      <c r="K40" s="44">
        <f>IF($B$8=12,D40,IF($B$8=4,0,IF($B$8=6,0,IF($B$8=3,0,0))))</f>
        <v>0</v>
      </c>
      <c r="M40" s="4201"/>
      <c r="N40" s="51" t="s">
        <v>22</v>
      </c>
      <c r="O40" s="43">
        <f t="shared" si="11"/>
        <v>0</v>
      </c>
      <c r="P40" s="43">
        <f t="shared" si="10"/>
        <v>0</v>
      </c>
      <c r="Q40" s="44">
        <f t="shared" si="10"/>
        <v>0</v>
      </c>
    </row>
    <row r="41" spans="1:17" ht="15.75" customHeight="1">
      <c r="A41" s="100">
        <v>31</v>
      </c>
      <c r="B41" s="43">
        <f t="shared" si="1"/>
        <v>0</v>
      </c>
      <c r="C41" s="65">
        <f t="shared" si="3"/>
        <v>0</v>
      </c>
      <c r="D41" s="65">
        <f t="shared" si="4"/>
        <v>0</v>
      </c>
      <c r="E41" s="68">
        <f t="shared" si="6"/>
        <v>0</v>
      </c>
      <c r="G41" s="4201"/>
      <c r="H41" s="40" t="s">
        <v>23</v>
      </c>
      <c r="I41" s="43">
        <f>IF($B$8=12,B41,IF($B$8=4,B21,IF($B$8=6,B26,IF($B$8=3,0,IF($B$8=2,B16,0)))))</f>
        <v>0</v>
      </c>
      <c r="J41" s="43">
        <f>IF($B$8=12,C41,IF($B$8=4,C21,IF($B$8=6,C26,IF($B$8=3,0,IF($B$8=2,C16,0)))))</f>
        <v>0</v>
      </c>
      <c r="K41" s="44">
        <f>IF($B$8=12,D41,IF($B$8=4,D21,IF($B$8=6,D26,IF($B$8=3,0,IF($B$8=2,D16,0)))))</f>
        <v>0</v>
      </c>
      <c r="M41" s="4201"/>
      <c r="N41" s="51" t="s">
        <v>23</v>
      </c>
      <c r="O41" s="43">
        <f t="shared" si="11"/>
        <v>0</v>
      </c>
      <c r="P41" s="43">
        <f t="shared" si="10"/>
        <v>0</v>
      </c>
      <c r="Q41" s="44">
        <f t="shared" si="10"/>
        <v>0</v>
      </c>
    </row>
    <row r="42" spans="1:17" ht="15.75" customHeight="1">
      <c r="A42" s="100">
        <v>32</v>
      </c>
      <c r="B42" s="43">
        <f t="shared" si="1"/>
        <v>0</v>
      </c>
      <c r="C42" s="65">
        <f t="shared" si="3"/>
        <v>0</v>
      </c>
      <c r="D42" s="65">
        <f t="shared" si="4"/>
        <v>0</v>
      </c>
      <c r="E42" s="68">
        <f t="shared" si="6"/>
        <v>0</v>
      </c>
      <c r="G42" s="4201"/>
      <c r="H42" s="40" t="s">
        <v>24</v>
      </c>
      <c r="I42" s="43">
        <f>IF($B$8=12,B42,IF($B$8=4,0,IF($B$8=6,0,IF($B$8=3,0,0))))</f>
        <v>0</v>
      </c>
      <c r="J42" s="43">
        <f>IF($B$8=12,C42,IF($B$8=4,0,IF($B$8=6,0,IF($B$8=3,0,0))))</f>
        <v>0</v>
      </c>
      <c r="K42" s="44">
        <f>IF($B$8=12,D42,IF($B$8=4,0,IF($B$8=6,0,IF($B$8=3,0,0))))</f>
        <v>0</v>
      </c>
      <c r="M42" s="4201"/>
      <c r="N42" s="51" t="s">
        <v>24</v>
      </c>
      <c r="O42" s="43">
        <f t="shared" si="11"/>
        <v>0</v>
      </c>
      <c r="P42" s="43">
        <f t="shared" si="10"/>
        <v>0</v>
      </c>
      <c r="Q42" s="44">
        <f t="shared" si="10"/>
        <v>0</v>
      </c>
    </row>
    <row r="43" spans="1:17" ht="15.75" customHeight="1">
      <c r="A43" s="100">
        <v>33</v>
      </c>
      <c r="B43" s="43">
        <f t="shared" si="1"/>
        <v>0</v>
      </c>
      <c r="C43" s="65">
        <f t="shared" si="3"/>
        <v>0</v>
      </c>
      <c r="D43" s="65">
        <f t="shared" si="4"/>
        <v>0</v>
      </c>
      <c r="E43" s="68">
        <f t="shared" si="6"/>
        <v>0</v>
      </c>
      <c r="G43" s="4201"/>
      <c r="H43" s="40" t="s">
        <v>25</v>
      </c>
      <c r="I43" s="43">
        <f>IF($B$8=12,B43,IF($B$8=4,0,IF($B$8=6,B27,IF($B$8=3,B19,0))))</f>
        <v>0</v>
      </c>
      <c r="J43" s="43">
        <f>IF($B$8=12,C43,IF($B$8=4,0,IF($B$8=6,C27,IF($B$8=3,C19,0))))</f>
        <v>0</v>
      </c>
      <c r="K43" s="44">
        <f>IF($B$8=12,D43,IF($B$8=4,0,IF($B$8=6,D27,IF($B$8=3,D19,0))))</f>
        <v>0</v>
      </c>
      <c r="M43" s="4201"/>
      <c r="N43" s="51" t="s">
        <v>25</v>
      </c>
      <c r="O43" s="43">
        <f t="shared" si="11"/>
        <v>0</v>
      </c>
      <c r="P43" s="43">
        <f t="shared" si="10"/>
        <v>0</v>
      </c>
      <c r="Q43" s="44">
        <f t="shared" si="10"/>
        <v>0</v>
      </c>
    </row>
    <row r="44" spans="1:17" ht="15.75" customHeight="1">
      <c r="A44" s="100">
        <v>34</v>
      </c>
      <c r="B44" s="43">
        <f t="shared" si="1"/>
        <v>0</v>
      </c>
      <c r="C44" s="65">
        <f t="shared" si="3"/>
        <v>0</v>
      </c>
      <c r="D44" s="65">
        <f t="shared" si="4"/>
        <v>0</v>
      </c>
      <c r="E44" s="68">
        <f t="shared" si="6"/>
        <v>0</v>
      </c>
      <c r="G44" s="4201"/>
      <c r="H44" s="40" t="s">
        <v>26</v>
      </c>
      <c r="I44" s="43">
        <f>IF($B$8=12,B44,IF($B$8=4,B22,IF($B$8=6,0,IF($B$8=3,0,0))))</f>
        <v>0</v>
      </c>
      <c r="J44" s="43">
        <f>IF($B$8=12,C44,IF($B$8=4,C22,IF($B$8=6,0,IF($B$8=3,0,0))))</f>
        <v>0</v>
      </c>
      <c r="K44" s="44">
        <f>IF($B$8=12,D44,IF($B$8=4,D22,IF($B$8=6,0,IF($B$8=3,0,0))))</f>
        <v>0</v>
      </c>
      <c r="M44" s="4201"/>
      <c r="N44" s="51" t="s">
        <v>26</v>
      </c>
      <c r="O44" s="43">
        <f t="shared" si="11"/>
        <v>0</v>
      </c>
      <c r="P44" s="43">
        <f t="shared" si="10"/>
        <v>0</v>
      </c>
      <c r="Q44" s="44">
        <f t="shared" si="10"/>
        <v>0</v>
      </c>
    </row>
    <row r="45" spans="1:17" ht="15.75" customHeight="1">
      <c r="A45" s="100">
        <v>35</v>
      </c>
      <c r="B45" s="43">
        <f t="shared" si="1"/>
        <v>0</v>
      </c>
      <c r="C45" s="65">
        <f t="shared" si="3"/>
        <v>0</v>
      </c>
      <c r="D45" s="65">
        <f t="shared" si="4"/>
        <v>0</v>
      </c>
      <c r="E45" s="68">
        <f t="shared" si="6"/>
        <v>0</v>
      </c>
      <c r="G45" s="4201"/>
      <c r="H45" s="40" t="s">
        <v>27</v>
      </c>
      <c r="I45" s="43">
        <f>IF($B$8=12,B45,IF($B$8=4,0,IF($B$8=6,B28,IF($B$8=3,0,0))))</f>
        <v>0</v>
      </c>
      <c r="J45" s="43">
        <f>IF($B$8=12,C45,IF($B$8=4,0,IF($B$8=6,C28,IF($B$8=3,0,0))))</f>
        <v>0</v>
      </c>
      <c r="K45" s="44">
        <f>IF($B$8=12,D45,IF($B$8=4,0,IF($B$8=6,D28,IF($B$8=3,0,0))))</f>
        <v>0</v>
      </c>
      <c r="M45" s="4201"/>
      <c r="N45" s="51" t="s">
        <v>27</v>
      </c>
      <c r="O45" s="43">
        <f t="shared" si="11"/>
        <v>0</v>
      </c>
      <c r="P45" s="43">
        <f t="shared" si="10"/>
        <v>0</v>
      </c>
      <c r="Q45" s="44">
        <f t="shared" si="10"/>
        <v>0</v>
      </c>
    </row>
    <row r="46" spans="1:17" ht="15.75" customHeight="1" thickBot="1">
      <c r="A46" s="101">
        <v>36</v>
      </c>
      <c r="B46" s="70">
        <f t="shared" si="1"/>
        <v>0</v>
      </c>
      <c r="C46" s="71">
        <f t="shared" si="3"/>
        <v>0</v>
      </c>
      <c r="D46" s="71">
        <f t="shared" si="4"/>
        <v>0</v>
      </c>
      <c r="E46" s="68">
        <f t="shared" si="6"/>
        <v>0</v>
      </c>
      <c r="F46" s="243">
        <f>SUM(D35:D46)</f>
        <v>0</v>
      </c>
      <c r="G46" s="4202"/>
      <c r="H46" s="73" t="s">
        <v>28</v>
      </c>
      <c r="I46" s="70">
        <f>IF($B$8=12,B46,IF($B$8=4,0,IF($B$8=6,0,IF($B$8=3,0,0))))</f>
        <v>0</v>
      </c>
      <c r="J46" s="70">
        <f>IF($B$8=12,C46,IF($B$8=4,0,IF($B$8=6,0,IF($B$8=3,0,0))))</f>
        <v>0</v>
      </c>
      <c r="K46" s="75">
        <f>IF($B$8=12,D46,IF($B$8=4,0,IF($B$8=6,0,IF($B$8=3,0,0))))</f>
        <v>0</v>
      </c>
      <c r="M46" s="4202"/>
      <c r="N46" s="74" t="s">
        <v>28</v>
      </c>
      <c r="O46" s="45">
        <f t="shared" si="11"/>
        <v>0</v>
      </c>
      <c r="P46" s="45">
        <f t="shared" si="10"/>
        <v>0</v>
      </c>
      <c r="Q46" s="46">
        <f t="shared" si="10"/>
        <v>0</v>
      </c>
    </row>
    <row r="47" spans="1:17" ht="15.75" customHeight="1">
      <c r="A47" s="100">
        <v>37</v>
      </c>
      <c r="B47" s="43">
        <f t="shared" si="1"/>
        <v>0</v>
      </c>
      <c r="C47" s="65">
        <f t="shared" si="3"/>
        <v>0</v>
      </c>
      <c r="D47" s="65">
        <f t="shared" si="4"/>
        <v>0</v>
      </c>
      <c r="E47" s="109">
        <f t="shared" si="6"/>
        <v>0</v>
      </c>
      <c r="G47" s="4200">
        <f>G35+1</f>
        <v>3</v>
      </c>
      <c r="H47" s="40" t="s">
        <v>17</v>
      </c>
      <c r="I47" s="43">
        <f>IF($B$8=12,B47,IF($B$8=4,B23,IF($B$8=6,B29,IF($B$8=3,B20,IF($B$8=2,B17,IF($B$8=1,B14,0))))))</f>
        <v>0</v>
      </c>
      <c r="J47" s="43">
        <f>IF($B$8=12,C47,IF($B$8=4,C23,IF($B$8=6,C29,IF($B$8=3,C20,IF($B$8=2,C17,IF($B$8=1,C14,0))))))</f>
        <v>0</v>
      </c>
      <c r="K47" s="44">
        <f>IF($B$8=12,D47,IF($B$8=4,D23,IF($B$8=6,D29,IF($B$8=3,D20,IF($B$8=2,D17,IF($B$8=1,D14,0))))))</f>
        <v>0</v>
      </c>
      <c r="M47" s="4200">
        <f>'1.Datos Básicos. Product-Serv'!$B$7+3</f>
        <v>3</v>
      </c>
      <c r="N47" s="51" t="s">
        <v>17</v>
      </c>
      <c r="O47" s="76">
        <f>IF($I$6=4,I11,IF($I$6=3,I23,IF($I$6=2,I35,IF($I$6=1,I47,0))))</f>
        <v>0</v>
      </c>
      <c r="P47" s="76">
        <f t="shared" ref="P47:Q58" si="12">IF($I$6=4,J11,IF($I$6=3,J23,IF($I$6=2,J35,IF($I$6=1,J47,0))))</f>
        <v>0</v>
      </c>
      <c r="Q47" s="77">
        <f t="shared" si="12"/>
        <v>0</v>
      </c>
    </row>
    <row r="48" spans="1:17" ht="15.75" customHeight="1">
      <c r="A48" s="100">
        <v>38</v>
      </c>
      <c r="B48" s="43">
        <f t="shared" si="1"/>
        <v>0</v>
      </c>
      <c r="C48" s="65">
        <f t="shared" si="3"/>
        <v>0</v>
      </c>
      <c r="D48" s="65">
        <f t="shared" si="4"/>
        <v>0</v>
      </c>
      <c r="E48" s="68">
        <f t="shared" si="6"/>
        <v>0</v>
      </c>
      <c r="G48" s="4201"/>
      <c r="H48" s="40" t="s">
        <v>18</v>
      </c>
      <c r="I48" s="43">
        <f>IF($B$8=12,B48,0)</f>
        <v>0</v>
      </c>
      <c r="J48" s="43">
        <f>IF($B$8=12,C48,0)</f>
        <v>0</v>
      </c>
      <c r="K48" s="44">
        <f>IF($B$8=12,D48,0)</f>
        <v>0</v>
      </c>
      <c r="M48" s="4201"/>
      <c r="N48" s="51" t="s">
        <v>18</v>
      </c>
      <c r="O48" s="43">
        <f t="shared" ref="O48:O58" si="13">IF($I$6=4,I12,IF($I$6=3,I24,IF($I$6=2,I36,IF($I$6=1,I48,0))))</f>
        <v>0</v>
      </c>
      <c r="P48" s="43">
        <f t="shared" si="12"/>
        <v>0</v>
      </c>
      <c r="Q48" s="44">
        <f t="shared" si="12"/>
        <v>0</v>
      </c>
    </row>
    <row r="49" spans="1:17" ht="15.75" customHeight="1">
      <c r="A49" s="100">
        <v>39</v>
      </c>
      <c r="B49" s="43">
        <f t="shared" si="1"/>
        <v>0</v>
      </c>
      <c r="C49" s="65">
        <f t="shared" si="3"/>
        <v>0</v>
      </c>
      <c r="D49" s="65">
        <f t="shared" si="4"/>
        <v>0</v>
      </c>
      <c r="E49" s="68">
        <f t="shared" si="6"/>
        <v>0</v>
      </c>
      <c r="G49" s="4201"/>
      <c r="H49" s="40" t="s">
        <v>19</v>
      </c>
      <c r="I49" s="43">
        <f>IF($B$8=12,B49,IF($B$8=6,B30,0))</f>
        <v>0</v>
      </c>
      <c r="J49" s="43">
        <f>IF($B$8=12,C49,IF($B$8=6,C30,0))</f>
        <v>0</v>
      </c>
      <c r="K49" s="44">
        <f>IF($B$8=12,D49,IF($B$8=6,D30,0))</f>
        <v>0</v>
      </c>
      <c r="M49" s="4201"/>
      <c r="N49" s="51" t="s">
        <v>19</v>
      </c>
      <c r="O49" s="43">
        <f t="shared" si="13"/>
        <v>0</v>
      </c>
      <c r="P49" s="43">
        <f t="shared" si="12"/>
        <v>0</v>
      </c>
      <c r="Q49" s="44">
        <f t="shared" si="12"/>
        <v>0</v>
      </c>
    </row>
    <row r="50" spans="1:17" ht="15.75" customHeight="1">
      <c r="A50" s="100">
        <v>40</v>
      </c>
      <c r="B50" s="43">
        <f t="shared" si="1"/>
        <v>0</v>
      </c>
      <c r="C50" s="65">
        <f t="shared" si="3"/>
        <v>0</v>
      </c>
      <c r="D50" s="65">
        <f t="shared" si="4"/>
        <v>0</v>
      </c>
      <c r="E50" s="68">
        <f t="shared" si="6"/>
        <v>0</v>
      </c>
      <c r="G50" s="4201"/>
      <c r="H50" s="40" t="s">
        <v>20</v>
      </c>
      <c r="I50" s="43">
        <f>IF($B$8=12,B50,IF($B$8=4,B24,IF($B$8=6,0,IF($B$8=3,0,0))))</f>
        <v>0</v>
      </c>
      <c r="J50" s="43">
        <f>IF($B$8=12,C50,IF($B$8=4,C24,IF($B$8=6,0,IF($B$8=3,0,0))))</f>
        <v>0</v>
      </c>
      <c r="K50" s="44">
        <f>IF($B$8=12,D50,IF($B$8=4,D24,IF($B$8=6,0,IF($B$8=3,0,0))))</f>
        <v>0</v>
      </c>
      <c r="M50" s="4201"/>
      <c r="N50" s="51" t="s">
        <v>20</v>
      </c>
      <c r="O50" s="43">
        <f t="shared" si="13"/>
        <v>0</v>
      </c>
      <c r="P50" s="43">
        <f t="shared" si="12"/>
        <v>0</v>
      </c>
      <c r="Q50" s="44">
        <f t="shared" si="12"/>
        <v>0</v>
      </c>
    </row>
    <row r="51" spans="1:17" ht="15.75" customHeight="1">
      <c r="A51" s="100">
        <v>41</v>
      </c>
      <c r="B51" s="43">
        <f t="shared" si="1"/>
        <v>0</v>
      </c>
      <c r="C51" s="65">
        <f t="shared" si="3"/>
        <v>0</v>
      </c>
      <c r="D51" s="65">
        <f t="shared" si="4"/>
        <v>0</v>
      </c>
      <c r="E51" s="68">
        <f t="shared" si="6"/>
        <v>0</v>
      </c>
      <c r="G51" s="4201"/>
      <c r="H51" s="40" t="s">
        <v>21</v>
      </c>
      <c r="I51" s="43">
        <f>IF($B$8=12,B51,IF($B$8=4,0,IF($B$8=6,B31,IF($B$8=3,B21,0))))</f>
        <v>0</v>
      </c>
      <c r="J51" s="43">
        <f>IF($B$8=12,C51,IF($B$8=4,0,IF($B$8=6,C31,IF($B$8=3,C21,0))))</f>
        <v>0</v>
      </c>
      <c r="K51" s="44">
        <f>IF($B$8=12,D51,IF($B$8=4,0,IF($B$8=6,D31,IF($B$8=3,D21,0))))</f>
        <v>0</v>
      </c>
      <c r="M51" s="4201"/>
      <c r="N51" s="51" t="s">
        <v>21</v>
      </c>
      <c r="O51" s="43">
        <f t="shared" si="13"/>
        <v>0</v>
      </c>
      <c r="P51" s="43">
        <f t="shared" si="12"/>
        <v>0</v>
      </c>
      <c r="Q51" s="44">
        <f t="shared" si="12"/>
        <v>0</v>
      </c>
    </row>
    <row r="52" spans="1:17" ht="15.75" customHeight="1">
      <c r="A52" s="100">
        <v>42</v>
      </c>
      <c r="B52" s="43">
        <f t="shared" si="1"/>
        <v>0</v>
      </c>
      <c r="C52" s="65">
        <f t="shared" si="3"/>
        <v>0</v>
      </c>
      <c r="D52" s="65">
        <f t="shared" si="4"/>
        <v>0</v>
      </c>
      <c r="E52" s="68">
        <f t="shared" si="6"/>
        <v>0</v>
      </c>
      <c r="G52" s="4201"/>
      <c r="H52" s="40" t="s">
        <v>22</v>
      </c>
      <c r="I52" s="43">
        <f>IF($B$8=12,B52,IF($B$8=4,0,IF($B$8=6,0,IF($B$8=3,0,0))))</f>
        <v>0</v>
      </c>
      <c r="J52" s="43">
        <f>IF($B$8=12,C52,IF($B$8=4,0,IF($B$8=6,0,IF($B$8=3,0,0))))</f>
        <v>0</v>
      </c>
      <c r="K52" s="44">
        <f>IF($B$8=12,D52,IF($B$8=4,0,IF($B$8=6,0,IF($B$8=3,0,0))))</f>
        <v>0</v>
      </c>
      <c r="M52" s="4201"/>
      <c r="N52" s="51" t="s">
        <v>22</v>
      </c>
      <c r="O52" s="43">
        <f t="shared" si="13"/>
        <v>0</v>
      </c>
      <c r="P52" s="43">
        <f t="shared" si="12"/>
        <v>0</v>
      </c>
      <c r="Q52" s="44">
        <f t="shared" si="12"/>
        <v>0</v>
      </c>
    </row>
    <row r="53" spans="1:17" ht="15.75" customHeight="1">
      <c r="A53" s="100">
        <v>43</v>
      </c>
      <c r="B53" s="43">
        <f t="shared" si="1"/>
        <v>0</v>
      </c>
      <c r="C53" s="65">
        <f t="shared" si="3"/>
        <v>0</v>
      </c>
      <c r="D53" s="65">
        <f t="shared" si="4"/>
        <v>0</v>
      </c>
      <c r="E53" s="68">
        <f t="shared" si="6"/>
        <v>0</v>
      </c>
      <c r="G53" s="4201"/>
      <c r="H53" s="40" t="s">
        <v>23</v>
      </c>
      <c r="I53" s="43">
        <f>IF($B$8=12,B53,IF($B$8=4,B25,IF($B$8=6,B32,IF($B$8=3,0,IF($B$8=2,B18,0)))))</f>
        <v>0</v>
      </c>
      <c r="J53" s="43">
        <f>IF($B$8=12,C53,IF($B$8=4,C25,IF($B$8=6,C32,IF($B$8=3,0,IF($B$8=2,C18,0)))))</f>
        <v>0</v>
      </c>
      <c r="K53" s="44">
        <f>IF($B$8=12,D53,IF($B$8=4,D25,IF($B$8=6,D32,IF($B$8=3,0,IF($B$8=2,D18,0)))))</f>
        <v>0</v>
      </c>
      <c r="M53" s="4201"/>
      <c r="N53" s="51" t="s">
        <v>23</v>
      </c>
      <c r="O53" s="43">
        <f t="shared" si="13"/>
        <v>0</v>
      </c>
      <c r="P53" s="43">
        <f t="shared" si="12"/>
        <v>0</v>
      </c>
      <c r="Q53" s="44">
        <f t="shared" si="12"/>
        <v>0</v>
      </c>
    </row>
    <row r="54" spans="1:17" ht="15.75" customHeight="1">
      <c r="A54" s="100">
        <v>44</v>
      </c>
      <c r="B54" s="43">
        <f t="shared" si="1"/>
        <v>0</v>
      </c>
      <c r="C54" s="65">
        <f t="shared" si="3"/>
        <v>0</v>
      </c>
      <c r="D54" s="65">
        <f t="shared" si="4"/>
        <v>0</v>
      </c>
      <c r="E54" s="68">
        <f t="shared" si="6"/>
        <v>0</v>
      </c>
      <c r="G54" s="4201"/>
      <c r="H54" s="40" t="s">
        <v>24</v>
      </c>
      <c r="I54" s="43">
        <f>IF($B$8=12,B54,IF($B$8=4,0,IF($B$8=6,0,IF($B$8=3,0,0))))</f>
        <v>0</v>
      </c>
      <c r="J54" s="43">
        <f>IF($B$8=12,C54,IF($B$8=4,0,IF($B$8=6,0,IF($B$8=3,0,0))))</f>
        <v>0</v>
      </c>
      <c r="K54" s="44">
        <f>IF($B$8=12,D54,IF($B$8=4,0,IF($B$8=6,0,IF($B$8=3,0,0))))</f>
        <v>0</v>
      </c>
      <c r="M54" s="4201"/>
      <c r="N54" s="51" t="s">
        <v>24</v>
      </c>
      <c r="O54" s="43">
        <f t="shared" si="13"/>
        <v>0</v>
      </c>
      <c r="P54" s="43">
        <f t="shared" si="12"/>
        <v>0</v>
      </c>
      <c r="Q54" s="44">
        <f t="shared" si="12"/>
        <v>0</v>
      </c>
    </row>
    <row r="55" spans="1:17" ht="15.75" customHeight="1">
      <c r="A55" s="100">
        <v>45</v>
      </c>
      <c r="B55" s="43">
        <f t="shared" si="1"/>
        <v>0</v>
      </c>
      <c r="C55" s="65">
        <f t="shared" si="3"/>
        <v>0</v>
      </c>
      <c r="D55" s="65">
        <f t="shared" si="4"/>
        <v>0</v>
      </c>
      <c r="E55" s="68">
        <f t="shared" si="6"/>
        <v>0</v>
      </c>
      <c r="G55" s="4201"/>
      <c r="H55" s="40" t="s">
        <v>25</v>
      </c>
      <c r="I55" s="43">
        <f>IF($B$8=12,B55,IF($B$8=4,0,IF($B$8=6,B33,IF($B$8=3,B22,0))))</f>
        <v>0</v>
      </c>
      <c r="J55" s="43">
        <f>IF($B$8=12,C55,IF($B$8=4,0,IF($B$8=6,C33,IF($B$8=3,C22,0))))</f>
        <v>0</v>
      </c>
      <c r="K55" s="44">
        <f>IF($B$8=12,D55,IF($B$8=4,0,IF($B$8=6,D33,IF($B$8=3,D22,0))))</f>
        <v>0</v>
      </c>
      <c r="M55" s="4201"/>
      <c r="N55" s="51" t="s">
        <v>25</v>
      </c>
      <c r="O55" s="43">
        <f t="shared" si="13"/>
        <v>0</v>
      </c>
      <c r="P55" s="43">
        <f t="shared" si="12"/>
        <v>0</v>
      </c>
      <c r="Q55" s="44">
        <f t="shared" si="12"/>
        <v>0</v>
      </c>
    </row>
    <row r="56" spans="1:17" ht="15.75" customHeight="1">
      <c r="A56" s="100">
        <v>46</v>
      </c>
      <c r="B56" s="43">
        <f t="shared" si="1"/>
        <v>0</v>
      </c>
      <c r="C56" s="65">
        <f t="shared" si="3"/>
        <v>0</v>
      </c>
      <c r="D56" s="65">
        <f t="shared" si="4"/>
        <v>0</v>
      </c>
      <c r="E56" s="68">
        <f t="shared" si="6"/>
        <v>0</v>
      </c>
      <c r="G56" s="4201"/>
      <c r="H56" s="40" t="s">
        <v>26</v>
      </c>
      <c r="I56" s="43">
        <f>IF($B$8=12,B56,IF($B$8=4,B26,IF($B$8=6,0,IF($B$8=3,0,0))))</f>
        <v>0</v>
      </c>
      <c r="J56" s="43">
        <f>IF($B$8=12,C56,IF($B$8=4,C26,IF($B$8=6,0,IF($B$8=3,0,0))))</f>
        <v>0</v>
      </c>
      <c r="K56" s="44">
        <f>IF($B$8=12,D56,IF($B$8=4,D26,IF($B$8=6,0,IF($B$8=3,0,0))))</f>
        <v>0</v>
      </c>
      <c r="M56" s="4201"/>
      <c r="N56" s="51" t="s">
        <v>26</v>
      </c>
      <c r="O56" s="43">
        <f t="shared" si="13"/>
        <v>0</v>
      </c>
      <c r="P56" s="43">
        <f t="shared" si="12"/>
        <v>0</v>
      </c>
      <c r="Q56" s="44">
        <f t="shared" si="12"/>
        <v>0</v>
      </c>
    </row>
    <row r="57" spans="1:17" ht="15.75" customHeight="1">
      <c r="A57" s="100">
        <v>47</v>
      </c>
      <c r="B57" s="43">
        <f t="shared" si="1"/>
        <v>0</v>
      </c>
      <c r="C57" s="65">
        <f t="shared" si="3"/>
        <v>0</v>
      </c>
      <c r="D57" s="65">
        <f t="shared" si="4"/>
        <v>0</v>
      </c>
      <c r="E57" s="68">
        <f t="shared" si="6"/>
        <v>0</v>
      </c>
      <c r="G57" s="4201"/>
      <c r="H57" s="40" t="s">
        <v>27</v>
      </c>
      <c r="I57" s="43">
        <f>IF($B$8=12,B57,IF($B$8=4,0,IF($B$8=6,B34,IF($B$8=3,0,0))))</f>
        <v>0</v>
      </c>
      <c r="J57" s="43">
        <f>IF($B$8=12,C57,IF($B$8=4,0,IF($B$8=6,C34,IF($B$8=3,0,0))))</f>
        <v>0</v>
      </c>
      <c r="K57" s="44">
        <f>IF($B$8=12,D57,IF($B$8=4,0,IF($B$8=6,D34,IF($B$8=3,0,0))))</f>
        <v>0</v>
      </c>
      <c r="M57" s="4201"/>
      <c r="N57" s="51" t="s">
        <v>27</v>
      </c>
      <c r="O57" s="43">
        <f t="shared" si="13"/>
        <v>0</v>
      </c>
      <c r="P57" s="43">
        <f t="shared" si="12"/>
        <v>0</v>
      </c>
      <c r="Q57" s="44">
        <f t="shared" si="12"/>
        <v>0</v>
      </c>
    </row>
    <row r="58" spans="1:17" ht="15.75" customHeight="1" thickBot="1">
      <c r="A58" s="101">
        <v>48</v>
      </c>
      <c r="B58" s="70">
        <f t="shared" si="1"/>
        <v>0</v>
      </c>
      <c r="C58" s="71">
        <f t="shared" si="3"/>
        <v>0</v>
      </c>
      <c r="D58" s="71">
        <f t="shared" si="4"/>
        <v>0</v>
      </c>
      <c r="E58" s="68">
        <f t="shared" si="6"/>
        <v>0</v>
      </c>
      <c r="F58" s="243">
        <f>SUM(D47:D58)</f>
        <v>0</v>
      </c>
      <c r="G58" s="4202"/>
      <c r="H58" s="73" t="s">
        <v>28</v>
      </c>
      <c r="I58" s="70">
        <f>IF($B$8=12,B58,IF($B$8=4,0,IF($B$8=6,0,IF($B$8=3,0,0))))</f>
        <v>0</v>
      </c>
      <c r="J58" s="70">
        <f>IF($B$8=12,C58,IF($B$8=4,0,IF($B$8=6,0,IF($B$8=3,0,0))))</f>
        <v>0</v>
      </c>
      <c r="K58" s="75">
        <f>IF($B$8=12,D58,IF($B$8=4,0,IF($B$8=6,0,IF($B$8=3,0,0))))</f>
        <v>0</v>
      </c>
      <c r="M58" s="4202"/>
      <c r="N58" s="74" t="s">
        <v>28</v>
      </c>
      <c r="O58" s="45">
        <f t="shared" si="13"/>
        <v>0</v>
      </c>
      <c r="P58" s="45">
        <f t="shared" si="12"/>
        <v>0</v>
      </c>
      <c r="Q58" s="46">
        <f t="shared" si="12"/>
        <v>0</v>
      </c>
    </row>
    <row r="59" spans="1:17" ht="15.75" customHeight="1">
      <c r="A59" s="100">
        <v>49</v>
      </c>
      <c r="B59" s="43">
        <f t="shared" si="1"/>
        <v>0</v>
      </c>
      <c r="C59" s="65">
        <f t="shared" si="3"/>
        <v>0</v>
      </c>
      <c r="D59" s="65">
        <f t="shared" si="4"/>
        <v>0</v>
      </c>
      <c r="E59" s="109">
        <f t="shared" si="6"/>
        <v>0</v>
      </c>
      <c r="G59" s="4200">
        <f>G47+1</f>
        <v>4</v>
      </c>
      <c r="H59" s="40" t="s">
        <v>17</v>
      </c>
      <c r="I59" s="43">
        <f>IF($B$8=12,B59,IF($B$8=4,B27,IF($B$8=6,B35,IF($B$8=3,B23,IF($B$8=2,B19,IF($B$8=1,B15,0))))))</f>
        <v>0</v>
      </c>
      <c r="J59" s="43">
        <f>IF($B$8=12,C59,IF($B$8=4,C27,IF($B$8=6,C35,IF($B$8=3,C23,IF($B$8=2,C19,IF($B$8=1,C15,0))))))</f>
        <v>0</v>
      </c>
      <c r="K59" s="44">
        <f>IF($B$8=12,D59,IF($B$8=4,D27,IF($B$8=6,D35,IF($B$8=3,D23,IF($B$8=2,D19,IF($B$8=1,D15,0))))))</f>
        <v>0</v>
      </c>
      <c r="M59" s="4200">
        <f>'1.Datos Básicos. Product-Serv'!$B$7+4</f>
        <v>4</v>
      </c>
      <c r="N59" s="51" t="s">
        <v>17</v>
      </c>
      <c r="O59" s="76">
        <f>IF($I$6=5,I11,IF($I$6=4,I23,IF($I$6=3,I35,IF($I$6=2,I47,IF($I$6=1,I59,0)))))</f>
        <v>0</v>
      </c>
      <c r="P59" s="76">
        <f t="shared" ref="P59:Q70" si="14">IF($I$6=5,J11,IF($I$6=4,J23,IF($I$6=3,J35,IF($I$6=2,J47,IF($I$6=1,J59,0)))))</f>
        <v>0</v>
      </c>
      <c r="Q59" s="77">
        <f t="shared" si="14"/>
        <v>0</v>
      </c>
    </row>
    <row r="60" spans="1:17" ht="15.75" customHeight="1">
      <c r="A60" s="100">
        <v>50</v>
      </c>
      <c r="B60" s="43">
        <f t="shared" si="1"/>
        <v>0</v>
      </c>
      <c r="C60" s="65">
        <f t="shared" si="3"/>
        <v>0</v>
      </c>
      <c r="D60" s="65">
        <f t="shared" si="4"/>
        <v>0</v>
      </c>
      <c r="E60" s="68">
        <f t="shared" si="6"/>
        <v>0</v>
      </c>
      <c r="G60" s="4201"/>
      <c r="H60" s="40" t="s">
        <v>18</v>
      </c>
      <c r="I60" s="43">
        <f>IF($B$8=12,B60,0)</f>
        <v>0</v>
      </c>
      <c r="J60" s="43">
        <f>IF($B$8=12,C60,0)</f>
        <v>0</v>
      </c>
      <c r="K60" s="44">
        <f>IF($B$8=12,D60,0)</f>
        <v>0</v>
      </c>
      <c r="M60" s="4201"/>
      <c r="N60" s="51" t="s">
        <v>18</v>
      </c>
      <c r="O60" s="43">
        <f t="shared" ref="O60:O70" si="15">IF($I$6=5,I12,IF($I$6=4,I24,IF($I$6=3,I36,IF($I$6=2,I48,IF($I$6=1,I60,0)))))</f>
        <v>0</v>
      </c>
      <c r="P60" s="43">
        <f t="shared" si="14"/>
        <v>0</v>
      </c>
      <c r="Q60" s="44">
        <f t="shared" si="14"/>
        <v>0</v>
      </c>
    </row>
    <row r="61" spans="1:17" ht="15.75" customHeight="1">
      <c r="A61" s="100">
        <v>51</v>
      </c>
      <c r="B61" s="43">
        <f t="shared" si="1"/>
        <v>0</v>
      </c>
      <c r="C61" s="65">
        <f t="shared" si="3"/>
        <v>0</v>
      </c>
      <c r="D61" s="65">
        <f t="shared" si="4"/>
        <v>0</v>
      </c>
      <c r="E61" s="68">
        <f t="shared" si="6"/>
        <v>0</v>
      </c>
      <c r="G61" s="4201"/>
      <c r="H61" s="40" t="s">
        <v>19</v>
      </c>
      <c r="I61" s="43">
        <f>IF($B$8=12,B61,IF($B$8=6,B36,0))</f>
        <v>0</v>
      </c>
      <c r="J61" s="43">
        <f>IF($B$8=12,C61,IF($B$8=6,C36,0))</f>
        <v>0</v>
      </c>
      <c r="K61" s="44">
        <f>IF($B$8=12,D61,IF($B$8=6,D36,0))</f>
        <v>0</v>
      </c>
      <c r="M61" s="4201"/>
      <c r="N61" s="51" t="s">
        <v>19</v>
      </c>
      <c r="O61" s="43">
        <f t="shared" si="15"/>
        <v>0</v>
      </c>
      <c r="P61" s="43">
        <f t="shared" si="14"/>
        <v>0</v>
      </c>
      <c r="Q61" s="44">
        <f t="shared" si="14"/>
        <v>0</v>
      </c>
    </row>
    <row r="62" spans="1:17" ht="15.75" customHeight="1">
      <c r="A62" s="100">
        <v>52</v>
      </c>
      <c r="B62" s="43">
        <f t="shared" si="1"/>
        <v>0</v>
      </c>
      <c r="C62" s="65">
        <f t="shared" si="3"/>
        <v>0</v>
      </c>
      <c r="D62" s="65">
        <f t="shared" si="4"/>
        <v>0</v>
      </c>
      <c r="E62" s="68">
        <f t="shared" si="6"/>
        <v>0</v>
      </c>
      <c r="G62" s="4201"/>
      <c r="H62" s="40" t="s">
        <v>20</v>
      </c>
      <c r="I62" s="43">
        <f>IF($B$8=12,B62,IF($B$8=4,B28,IF($B$8=6,0,IF($B$8=3,0,0))))</f>
        <v>0</v>
      </c>
      <c r="J62" s="43">
        <f>IF($B$8=12,C62,IF($B$8=4,C28,IF($B$8=6,0,IF($B$8=3,0,0))))</f>
        <v>0</v>
      </c>
      <c r="K62" s="44">
        <f>IF($B$8=12,D62,IF($B$8=4,D28,IF($B$8=6,0,IF($B$8=3,0,0))))</f>
        <v>0</v>
      </c>
      <c r="M62" s="4201"/>
      <c r="N62" s="51" t="s">
        <v>20</v>
      </c>
      <c r="O62" s="43">
        <f t="shared" si="15"/>
        <v>0</v>
      </c>
      <c r="P62" s="43">
        <f t="shared" si="14"/>
        <v>0</v>
      </c>
      <c r="Q62" s="44">
        <f t="shared" si="14"/>
        <v>0</v>
      </c>
    </row>
    <row r="63" spans="1:17" ht="15.75" customHeight="1">
      <c r="A63" s="100">
        <v>53</v>
      </c>
      <c r="B63" s="43">
        <f t="shared" si="1"/>
        <v>0</v>
      </c>
      <c r="C63" s="65">
        <f t="shared" si="3"/>
        <v>0</v>
      </c>
      <c r="D63" s="65">
        <f t="shared" si="4"/>
        <v>0</v>
      </c>
      <c r="E63" s="68">
        <f t="shared" si="6"/>
        <v>0</v>
      </c>
      <c r="G63" s="4201"/>
      <c r="H63" s="40" t="s">
        <v>21</v>
      </c>
      <c r="I63" s="43">
        <f>IF($B$8=12,B63,IF($B$8=4,0,IF($B$8=6,B37,IF($B$8=3,B24,0))))</f>
        <v>0</v>
      </c>
      <c r="J63" s="43">
        <f>IF($B$8=12,C63,IF($B$8=4,0,IF($B$8=6,C37,IF($B$8=3,C24,0))))</f>
        <v>0</v>
      </c>
      <c r="K63" s="44">
        <f>IF($B$8=12,D63,IF($B$8=4,0,IF($B$8=6,D37,IF($B$8=3,D24,0))))</f>
        <v>0</v>
      </c>
      <c r="M63" s="4201"/>
      <c r="N63" s="51" t="s">
        <v>21</v>
      </c>
      <c r="O63" s="43">
        <f t="shared" si="15"/>
        <v>0</v>
      </c>
      <c r="P63" s="43">
        <f t="shared" si="14"/>
        <v>0</v>
      </c>
      <c r="Q63" s="44">
        <f t="shared" si="14"/>
        <v>0</v>
      </c>
    </row>
    <row r="64" spans="1:17" ht="15.75" customHeight="1">
      <c r="A64" s="100">
        <v>54</v>
      </c>
      <c r="B64" s="43">
        <f t="shared" si="1"/>
        <v>0</v>
      </c>
      <c r="C64" s="65">
        <f t="shared" si="3"/>
        <v>0</v>
      </c>
      <c r="D64" s="65">
        <f t="shared" si="4"/>
        <v>0</v>
      </c>
      <c r="E64" s="68">
        <f t="shared" si="6"/>
        <v>0</v>
      </c>
      <c r="G64" s="4201"/>
      <c r="H64" s="40" t="s">
        <v>22</v>
      </c>
      <c r="I64" s="43">
        <f>IF($B$8=12,B64,IF($B$8=4,0,IF($B$8=6,0,IF($B$8=3,0,0))))</f>
        <v>0</v>
      </c>
      <c r="J64" s="43">
        <f>IF($B$8=12,C64,IF($B$8=4,0,IF($B$8=6,0,IF($B$8=3,0,0))))</f>
        <v>0</v>
      </c>
      <c r="K64" s="44">
        <f>IF($B$8=12,D64,IF($B$8=4,0,IF($B$8=6,0,IF($B$8=3,0,0))))</f>
        <v>0</v>
      </c>
      <c r="M64" s="4201"/>
      <c r="N64" s="51" t="s">
        <v>22</v>
      </c>
      <c r="O64" s="43">
        <f t="shared" si="15"/>
        <v>0</v>
      </c>
      <c r="P64" s="43">
        <f t="shared" si="14"/>
        <v>0</v>
      </c>
      <c r="Q64" s="44">
        <f t="shared" si="14"/>
        <v>0</v>
      </c>
    </row>
    <row r="65" spans="1:17" ht="15.75" customHeight="1">
      <c r="A65" s="100">
        <v>55</v>
      </c>
      <c r="B65" s="43">
        <f t="shared" si="1"/>
        <v>0</v>
      </c>
      <c r="C65" s="65">
        <f t="shared" si="3"/>
        <v>0</v>
      </c>
      <c r="D65" s="65">
        <f t="shared" si="4"/>
        <v>0</v>
      </c>
      <c r="E65" s="68">
        <f t="shared" si="6"/>
        <v>0</v>
      </c>
      <c r="G65" s="4201"/>
      <c r="H65" s="40" t="s">
        <v>23</v>
      </c>
      <c r="I65" s="43">
        <f>IF($B$8=12,B65,IF($B$8=4,B29,IF($B$8=6,B38,IF($B$8=3,0,IF($B$8=2,B20,0)))))</f>
        <v>0</v>
      </c>
      <c r="J65" s="43">
        <f>IF($B$8=12,C65,IF($B$8=4,C29,IF($B$8=6,C38,IF($B$8=3,0,IF($B$8=2,C20,0)))))</f>
        <v>0</v>
      </c>
      <c r="K65" s="44">
        <f>IF($B$8=12,D65,IF($B$8=4,D29,IF($B$8=6,D38,IF($B$8=3,0,IF($B$8=2,D20,0)))))</f>
        <v>0</v>
      </c>
      <c r="M65" s="4201"/>
      <c r="N65" s="51" t="s">
        <v>23</v>
      </c>
      <c r="O65" s="43">
        <f t="shared" si="15"/>
        <v>0</v>
      </c>
      <c r="P65" s="43">
        <f t="shared" si="14"/>
        <v>0</v>
      </c>
      <c r="Q65" s="44">
        <f t="shared" si="14"/>
        <v>0</v>
      </c>
    </row>
    <row r="66" spans="1:17" ht="15.75" customHeight="1">
      <c r="A66" s="100">
        <v>56</v>
      </c>
      <c r="B66" s="43">
        <f t="shared" si="1"/>
        <v>0</v>
      </c>
      <c r="C66" s="65">
        <f t="shared" si="3"/>
        <v>0</v>
      </c>
      <c r="D66" s="65">
        <f t="shared" si="4"/>
        <v>0</v>
      </c>
      <c r="E66" s="68">
        <f t="shared" si="6"/>
        <v>0</v>
      </c>
      <c r="G66" s="4201"/>
      <c r="H66" s="40" t="s">
        <v>24</v>
      </c>
      <c r="I66" s="43">
        <f>IF($B$8=12,B66,IF($B$8=4,0,IF($B$8=6,0,IF($B$8=3,0,0))))</f>
        <v>0</v>
      </c>
      <c r="J66" s="43">
        <f>IF($B$8=12,C66,IF($B$8=4,0,IF($B$8=6,0,IF($B$8=3,0,0))))</f>
        <v>0</v>
      </c>
      <c r="K66" s="44">
        <f>IF($B$8=12,D66,IF($B$8=4,0,IF($B$8=6,0,IF($B$8=3,0,0))))</f>
        <v>0</v>
      </c>
      <c r="M66" s="4201"/>
      <c r="N66" s="51" t="s">
        <v>24</v>
      </c>
      <c r="O66" s="43">
        <f t="shared" si="15"/>
        <v>0</v>
      </c>
      <c r="P66" s="43">
        <f t="shared" si="14"/>
        <v>0</v>
      </c>
      <c r="Q66" s="44">
        <f t="shared" si="14"/>
        <v>0</v>
      </c>
    </row>
    <row r="67" spans="1:17" ht="15.75" customHeight="1">
      <c r="A67" s="100">
        <v>57</v>
      </c>
      <c r="B67" s="43">
        <f t="shared" si="1"/>
        <v>0</v>
      </c>
      <c r="C67" s="65">
        <f t="shared" si="3"/>
        <v>0</v>
      </c>
      <c r="D67" s="65">
        <f t="shared" si="4"/>
        <v>0</v>
      </c>
      <c r="E67" s="68">
        <f t="shared" si="6"/>
        <v>0</v>
      </c>
      <c r="G67" s="4201"/>
      <c r="H67" s="40" t="s">
        <v>25</v>
      </c>
      <c r="I67" s="43">
        <f>IF($B$8=12,B67,IF($B$8=4,0,IF($B$8=6,B39,IF($B$8=3,B25,0))))</f>
        <v>0</v>
      </c>
      <c r="J67" s="43">
        <f>IF($B$8=12,C67,IF($B$8=4,0,IF($B$8=6,C39,IF($B$8=3,C25,0))))</f>
        <v>0</v>
      </c>
      <c r="K67" s="44">
        <f>IF($B$8=12,D67,IF($B$8=4,0,IF($B$8=6,D39,IF($B$8=3,D25,0))))</f>
        <v>0</v>
      </c>
      <c r="M67" s="4201"/>
      <c r="N67" s="51" t="s">
        <v>25</v>
      </c>
      <c r="O67" s="43">
        <f t="shared" si="15"/>
        <v>0</v>
      </c>
      <c r="P67" s="43">
        <f t="shared" si="14"/>
        <v>0</v>
      </c>
      <c r="Q67" s="44">
        <f t="shared" si="14"/>
        <v>0</v>
      </c>
    </row>
    <row r="68" spans="1:17" ht="15.75" customHeight="1">
      <c r="A68" s="100">
        <v>58</v>
      </c>
      <c r="B68" s="43">
        <f t="shared" si="1"/>
        <v>0</v>
      </c>
      <c r="C68" s="65">
        <f t="shared" si="3"/>
        <v>0</v>
      </c>
      <c r="D68" s="65">
        <f t="shared" si="4"/>
        <v>0</v>
      </c>
      <c r="E68" s="68">
        <f t="shared" si="6"/>
        <v>0</v>
      </c>
      <c r="G68" s="4201"/>
      <c r="H68" s="40" t="s">
        <v>26</v>
      </c>
      <c r="I68" s="43">
        <f>IF($B$8=12,B68,IF($B$8=4,B30,IF($B$8=6,0,IF($B$8=3,0,0))))</f>
        <v>0</v>
      </c>
      <c r="J68" s="43">
        <f>IF($B$8=12,C68,IF($B$8=4,C30,IF($B$8=6,0,IF($B$8=3,0,0))))</f>
        <v>0</v>
      </c>
      <c r="K68" s="44">
        <f>IF($B$8=12,D68,IF($B$8=4,D30,IF($B$8=6,0,IF($B$8=3,0,0))))</f>
        <v>0</v>
      </c>
      <c r="M68" s="4201"/>
      <c r="N68" s="51" t="s">
        <v>26</v>
      </c>
      <c r="O68" s="43">
        <f t="shared" si="15"/>
        <v>0</v>
      </c>
      <c r="P68" s="43">
        <f t="shared" si="14"/>
        <v>0</v>
      </c>
      <c r="Q68" s="44">
        <f t="shared" si="14"/>
        <v>0</v>
      </c>
    </row>
    <row r="69" spans="1:17" ht="15.75" customHeight="1">
      <c r="A69" s="100">
        <v>59</v>
      </c>
      <c r="B69" s="43">
        <f t="shared" si="1"/>
        <v>0</v>
      </c>
      <c r="C69" s="65">
        <f t="shared" si="3"/>
        <v>0</v>
      </c>
      <c r="D69" s="65">
        <f t="shared" si="4"/>
        <v>0</v>
      </c>
      <c r="E69" s="68">
        <f t="shared" si="6"/>
        <v>0</v>
      </c>
      <c r="G69" s="4201"/>
      <c r="H69" s="40" t="s">
        <v>27</v>
      </c>
      <c r="I69" s="43">
        <f>IF($B$8=12,B69,IF($B$8=4,0,IF($B$8=6,B40,IF($B$8=3,0,0))))</f>
        <v>0</v>
      </c>
      <c r="J69" s="43">
        <f>IF($B$8=12,C69,IF($B$8=4,0,IF($B$8=6,C40,IF($B$8=3,0,0))))</f>
        <v>0</v>
      </c>
      <c r="K69" s="44">
        <f>IF($B$8=12,D69,IF($B$8=4,0,IF($B$8=6,D40,IF($B$8=3,0,0))))</f>
        <v>0</v>
      </c>
      <c r="M69" s="4201"/>
      <c r="N69" s="51" t="s">
        <v>27</v>
      </c>
      <c r="O69" s="43">
        <f t="shared" si="15"/>
        <v>0</v>
      </c>
      <c r="P69" s="43">
        <f t="shared" si="14"/>
        <v>0</v>
      </c>
      <c r="Q69" s="44">
        <f t="shared" si="14"/>
        <v>0</v>
      </c>
    </row>
    <row r="70" spans="1:17" ht="15.75" customHeight="1" thickBot="1">
      <c r="A70" s="102">
        <v>60</v>
      </c>
      <c r="B70" s="48">
        <f t="shared" si="1"/>
        <v>0</v>
      </c>
      <c r="C70" s="78">
        <f t="shared" si="3"/>
        <v>0</v>
      </c>
      <c r="D70" s="78">
        <f t="shared" si="4"/>
        <v>0</v>
      </c>
      <c r="E70" s="49">
        <f t="shared" si="6"/>
        <v>0</v>
      </c>
      <c r="F70" s="243">
        <f>SUM(D59:D70)</f>
        <v>0</v>
      </c>
      <c r="G70" s="4202"/>
      <c r="H70" s="47" t="s">
        <v>28</v>
      </c>
      <c r="I70" s="48">
        <f>IF($B$8=12,B70,IF($B$8=4,0,IF($B$8=6,0,IF($B$8=3,0,0))))</f>
        <v>0</v>
      </c>
      <c r="J70" s="48">
        <f>IF($B$8=12,C70,IF($B$8=4,0,IF($B$8=6,0,IF($B$8=3,0,0))))</f>
        <v>0</v>
      </c>
      <c r="K70" s="49">
        <f>IF($B$8=12,D70,IF($B$8=4,0,IF($B$8=6,0,IF($B$8=3,0,0))))</f>
        <v>0</v>
      </c>
      <c r="M70" s="4202"/>
      <c r="N70" s="80" t="s">
        <v>28</v>
      </c>
      <c r="O70" s="48">
        <f t="shared" si="15"/>
        <v>0</v>
      </c>
      <c r="P70" s="48">
        <f t="shared" si="14"/>
        <v>0</v>
      </c>
      <c r="Q70" s="49">
        <f t="shared" si="14"/>
        <v>0</v>
      </c>
    </row>
    <row r="71" spans="1:17" ht="16.5" thickTop="1">
      <c r="A71" s="100">
        <v>61</v>
      </c>
      <c r="B71" s="43">
        <f t="shared" ref="B71:B78" si="16">IF(E70&gt;0,PMT($B$6/12,$B$7*$B$8,-$B$5,,1),0)</f>
        <v>0</v>
      </c>
      <c r="C71" s="65">
        <f t="shared" ref="C71:C78" si="17">IF(E70&gt;0,B71-D71,0)</f>
        <v>0</v>
      </c>
      <c r="D71" s="65">
        <f t="shared" ref="D71:D78" si="18">IF(E70&gt;0,B71-(E70*(Interes/12)),0)</f>
        <v>0</v>
      </c>
      <c r="E71" s="44">
        <f t="shared" ref="E71:E78" si="19">IF(E70&gt;0,IF((E70-D71)&gt;0.01,E70-D71,0),0)</f>
        <v>0</v>
      </c>
      <c r="H71" s="226" t="s">
        <v>17</v>
      </c>
      <c r="I71" s="43">
        <f t="shared" ref="I71:I82" si="20">IF($B$8=12,B71,IF($B$8=4,0,IF($B$8=6,0,IF($B$8=3,0,0))))</f>
        <v>0</v>
      </c>
      <c r="J71" s="43">
        <f t="shared" ref="J71:J82" si="21">IF($B$8=12,C71,IF($B$8=4,0,IF($B$8=6,0,IF($B$8=3,0,0))))</f>
        <v>0</v>
      </c>
      <c r="K71" s="44">
        <f t="shared" ref="K71:K82" si="22">IF($B$8=12,D71,IF($B$8=4,0,IF($B$8=6,0,IF($B$8=3,0,0))))</f>
        <v>0</v>
      </c>
      <c r="N71" s="51" t="s">
        <v>17</v>
      </c>
      <c r="O71" s="43">
        <f t="shared" ref="O71:Q72" si="23">IF($I$6=5,I23,IF($I$6=4,I35,IF($I$6=3,I47,IF($I$6=2,I59,IF($I$6=1,I71,0)))))</f>
        <v>0</v>
      </c>
      <c r="P71" s="43">
        <f t="shared" si="23"/>
        <v>0</v>
      </c>
      <c r="Q71" s="44">
        <f t="shared" si="23"/>
        <v>0</v>
      </c>
    </row>
    <row r="72" spans="1:17">
      <c r="A72" s="218">
        <v>62</v>
      </c>
      <c r="B72" s="219">
        <f t="shared" si="16"/>
        <v>0</v>
      </c>
      <c r="C72" s="220">
        <f t="shared" si="17"/>
        <v>0</v>
      </c>
      <c r="D72" s="220">
        <f t="shared" si="18"/>
        <v>0</v>
      </c>
      <c r="E72" s="109">
        <f t="shared" si="19"/>
        <v>0</v>
      </c>
      <c r="F72"/>
      <c r="H72" s="225" t="s">
        <v>18</v>
      </c>
      <c r="I72" s="222">
        <f t="shared" si="20"/>
        <v>0</v>
      </c>
      <c r="J72" s="222">
        <f t="shared" si="21"/>
        <v>0</v>
      </c>
      <c r="K72" s="224">
        <f t="shared" si="22"/>
        <v>0</v>
      </c>
      <c r="N72" s="227" t="s">
        <v>18</v>
      </c>
      <c r="O72" s="222">
        <f t="shared" si="23"/>
        <v>0</v>
      </c>
      <c r="P72" s="222">
        <f t="shared" si="23"/>
        <v>0</v>
      </c>
      <c r="Q72" s="224">
        <f t="shared" si="23"/>
        <v>0</v>
      </c>
    </row>
    <row r="73" spans="1:17">
      <c r="A73" s="221">
        <v>63</v>
      </c>
      <c r="B73" s="222">
        <f t="shared" si="16"/>
        <v>0</v>
      </c>
      <c r="C73" s="223">
        <f t="shared" si="17"/>
        <v>0</v>
      </c>
      <c r="D73" s="223">
        <f t="shared" si="18"/>
        <v>0</v>
      </c>
      <c r="E73" s="224">
        <f t="shared" si="19"/>
        <v>0</v>
      </c>
      <c r="F73"/>
      <c r="H73" s="225" t="s">
        <v>19</v>
      </c>
      <c r="I73" s="222">
        <f t="shared" si="20"/>
        <v>0</v>
      </c>
      <c r="J73" s="222">
        <f t="shared" si="21"/>
        <v>0</v>
      </c>
      <c r="K73" s="224">
        <f t="shared" si="22"/>
        <v>0</v>
      </c>
      <c r="N73" s="227" t="s">
        <v>19</v>
      </c>
      <c r="O73" s="222">
        <f t="shared" ref="O73:O82" si="24">IF($I$6=5,I25,IF($I$6=4,I37,IF($I$6=3,I49,IF($I$6=2,I61,IF($I$6=1,I73,0)))))</f>
        <v>0</v>
      </c>
      <c r="P73" s="222">
        <f t="shared" ref="P73:P82" si="25">IF($I$6=5,J25,IF($I$6=4,J37,IF($I$6=3,J49,IF($I$6=2,J61,IF($I$6=1,J73,0)))))</f>
        <v>0</v>
      </c>
      <c r="Q73" s="224">
        <f t="shared" ref="Q73:Q82" si="26">IF($I$6=5,K25,IF($I$6=4,K37,IF($I$6=3,K49,IF($I$6=2,K61,IF($I$6=1,K73,0)))))</f>
        <v>0</v>
      </c>
    </row>
    <row r="74" spans="1:17">
      <c r="A74" s="221">
        <v>64</v>
      </c>
      <c r="B74" s="222">
        <f t="shared" si="16"/>
        <v>0</v>
      </c>
      <c r="C74" s="223">
        <f t="shared" si="17"/>
        <v>0</v>
      </c>
      <c r="D74" s="223">
        <f t="shared" si="18"/>
        <v>0</v>
      </c>
      <c r="E74" s="224">
        <f t="shared" si="19"/>
        <v>0</v>
      </c>
      <c r="F74"/>
      <c r="H74" s="225" t="s">
        <v>20</v>
      </c>
      <c r="I74" s="222">
        <f t="shared" si="20"/>
        <v>0</v>
      </c>
      <c r="J74" s="222">
        <f t="shared" si="21"/>
        <v>0</v>
      </c>
      <c r="K74" s="224">
        <f t="shared" si="22"/>
        <v>0</v>
      </c>
      <c r="N74" s="227" t="s">
        <v>20</v>
      </c>
      <c r="O74" s="222">
        <f t="shared" si="24"/>
        <v>0</v>
      </c>
      <c r="P74" s="222">
        <f t="shared" si="25"/>
        <v>0</v>
      </c>
      <c r="Q74" s="224">
        <f t="shared" si="26"/>
        <v>0</v>
      </c>
    </row>
    <row r="75" spans="1:17">
      <c r="A75" s="221">
        <v>65</v>
      </c>
      <c r="B75" s="222">
        <f t="shared" si="16"/>
        <v>0</v>
      </c>
      <c r="C75" s="223">
        <f t="shared" si="17"/>
        <v>0</v>
      </c>
      <c r="D75" s="223">
        <f t="shared" si="18"/>
        <v>0</v>
      </c>
      <c r="E75" s="224">
        <f t="shared" si="19"/>
        <v>0</v>
      </c>
      <c r="F75"/>
      <c r="H75" s="225" t="s">
        <v>21</v>
      </c>
      <c r="I75" s="222">
        <f t="shared" si="20"/>
        <v>0</v>
      </c>
      <c r="J75" s="222">
        <f t="shared" si="21"/>
        <v>0</v>
      </c>
      <c r="K75" s="224">
        <f t="shared" si="22"/>
        <v>0</v>
      </c>
      <c r="N75" s="227" t="s">
        <v>21</v>
      </c>
      <c r="O75" s="222">
        <f t="shared" si="24"/>
        <v>0</v>
      </c>
      <c r="P75" s="222">
        <f t="shared" si="25"/>
        <v>0</v>
      </c>
      <c r="Q75" s="224">
        <f t="shared" si="26"/>
        <v>0</v>
      </c>
    </row>
    <row r="76" spans="1:17">
      <c r="A76" s="221">
        <v>66</v>
      </c>
      <c r="B76" s="222">
        <f t="shared" si="16"/>
        <v>0</v>
      </c>
      <c r="C76" s="223">
        <f t="shared" si="17"/>
        <v>0</v>
      </c>
      <c r="D76" s="223">
        <f t="shared" si="18"/>
        <v>0</v>
      </c>
      <c r="E76" s="224">
        <f t="shared" si="19"/>
        <v>0</v>
      </c>
      <c r="F76"/>
      <c r="H76" s="225" t="s">
        <v>22</v>
      </c>
      <c r="I76" s="222">
        <f t="shared" si="20"/>
        <v>0</v>
      </c>
      <c r="J76" s="222">
        <f t="shared" si="21"/>
        <v>0</v>
      </c>
      <c r="K76" s="224">
        <f t="shared" si="22"/>
        <v>0</v>
      </c>
      <c r="N76" s="227" t="s">
        <v>22</v>
      </c>
      <c r="O76" s="222">
        <f t="shared" si="24"/>
        <v>0</v>
      </c>
      <c r="P76" s="222">
        <f t="shared" si="25"/>
        <v>0</v>
      </c>
      <c r="Q76" s="224">
        <f t="shared" si="26"/>
        <v>0</v>
      </c>
    </row>
    <row r="77" spans="1:17">
      <c r="A77" s="221">
        <v>67</v>
      </c>
      <c r="B77" s="222">
        <f t="shared" si="16"/>
        <v>0</v>
      </c>
      <c r="C77" s="223">
        <f t="shared" si="17"/>
        <v>0</v>
      </c>
      <c r="D77" s="223">
        <f t="shared" si="18"/>
        <v>0</v>
      </c>
      <c r="E77" s="224">
        <f t="shared" si="19"/>
        <v>0</v>
      </c>
      <c r="F77"/>
      <c r="H77" s="225" t="s">
        <v>23</v>
      </c>
      <c r="I77" s="222">
        <f t="shared" si="20"/>
        <v>0</v>
      </c>
      <c r="J77" s="222">
        <f t="shared" si="21"/>
        <v>0</v>
      </c>
      <c r="K77" s="224">
        <f t="shared" si="22"/>
        <v>0</v>
      </c>
      <c r="N77" s="227" t="s">
        <v>23</v>
      </c>
      <c r="O77" s="222">
        <f t="shared" si="24"/>
        <v>0</v>
      </c>
      <c r="P77" s="222">
        <f t="shared" si="25"/>
        <v>0</v>
      </c>
      <c r="Q77" s="224">
        <f t="shared" si="26"/>
        <v>0</v>
      </c>
    </row>
    <row r="78" spans="1:17">
      <c r="A78" s="221">
        <v>68</v>
      </c>
      <c r="B78" s="222">
        <f t="shared" si="16"/>
        <v>0</v>
      </c>
      <c r="C78" s="223">
        <f t="shared" si="17"/>
        <v>0</v>
      </c>
      <c r="D78" s="223">
        <f t="shared" si="18"/>
        <v>0</v>
      </c>
      <c r="E78" s="224">
        <f t="shared" si="19"/>
        <v>0</v>
      </c>
      <c r="F78"/>
      <c r="H78" s="225" t="s">
        <v>24</v>
      </c>
      <c r="I78" s="222">
        <f t="shared" si="20"/>
        <v>0</v>
      </c>
      <c r="J78" s="222">
        <f t="shared" si="21"/>
        <v>0</v>
      </c>
      <c r="K78" s="224">
        <f t="shared" si="22"/>
        <v>0</v>
      </c>
      <c r="N78" s="227" t="s">
        <v>24</v>
      </c>
      <c r="O78" s="222">
        <f t="shared" si="24"/>
        <v>0</v>
      </c>
      <c r="P78" s="222">
        <f t="shared" si="25"/>
        <v>0</v>
      </c>
      <c r="Q78" s="224">
        <f t="shared" si="26"/>
        <v>0</v>
      </c>
    </row>
    <row r="79" spans="1:17">
      <c r="A79" s="221">
        <v>69</v>
      </c>
      <c r="B79" s="222">
        <f>IF(E78&gt;0,PMT($B$6/12,$B$7*$B$8,-$B$5,,1),0)</f>
        <v>0</v>
      </c>
      <c r="C79" s="223">
        <f>IF(E78&gt;0,B79-D79,0)</f>
        <v>0</v>
      </c>
      <c r="D79" s="223">
        <f>IF(E78&gt;0,B79-(E78*(Interes/12)),0)</f>
        <v>0</v>
      </c>
      <c r="E79" s="224">
        <f>IF(E78&gt;0,IF((E78-D79)&gt;0.01,E78-D79,0),0)</f>
        <v>0</v>
      </c>
      <c r="F79"/>
      <c r="H79" s="225" t="s">
        <v>25</v>
      </c>
      <c r="I79" s="222">
        <f t="shared" si="20"/>
        <v>0</v>
      </c>
      <c r="J79" s="222">
        <f t="shared" si="21"/>
        <v>0</v>
      </c>
      <c r="K79" s="224">
        <f t="shared" si="22"/>
        <v>0</v>
      </c>
      <c r="N79" s="227" t="s">
        <v>25</v>
      </c>
      <c r="O79" s="222">
        <f t="shared" si="24"/>
        <v>0</v>
      </c>
      <c r="P79" s="222">
        <f t="shared" si="25"/>
        <v>0</v>
      </c>
      <c r="Q79" s="224">
        <f t="shared" si="26"/>
        <v>0</v>
      </c>
    </row>
    <row r="80" spans="1:17">
      <c r="A80" s="221">
        <v>70</v>
      </c>
      <c r="B80" s="222">
        <f>IF(E79&gt;0,PMT($B$6/12,$B$7*$B$8,-$B$5,,1),0)</f>
        <v>0</v>
      </c>
      <c r="C80" s="223">
        <f>IF(E79&gt;0,B80-D80,0)</f>
        <v>0</v>
      </c>
      <c r="D80" s="223">
        <f>IF(E79&gt;0,B80-(E79*(Interes/12)),0)</f>
        <v>0</v>
      </c>
      <c r="E80" s="224">
        <f>IF(E79&gt;0,IF((E79-D80)&gt;0.01,E79-D80,0),0)</f>
        <v>0</v>
      </c>
      <c r="F80"/>
      <c r="H80" s="225" t="s">
        <v>26</v>
      </c>
      <c r="I80" s="222">
        <f t="shared" si="20"/>
        <v>0</v>
      </c>
      <c r="J80" s="222">
        <f t="shared" si="21"/>
        <v>0</v>
      </c>
      <c r="K80" s="224">
        <f t="shared" si="22"/>
        <v>0</v>
      </c>
      <c r="N80" s="227" t="s">
        <v>26</v>
      </c>
      <c r="O80" s="222">
        <f t="shared" si="24"/>
        <v>0</v>
      </c>
      <c r="P80" s="222">
        <f t="shared" si="25"/>
        <v>0</v>
      </c>
      <c r="Q80" s="224">
        <f t="shared" si="26"/>
        <v>0</v>
      </c>
    </row>
    <row r="81" spans="1:17">
      <c r="A81" s="221">
        <v>71</v>
      </c>
      <c r="B81" s="222">
        <f>IF(E80&gt;0,PMT($B$6/12,$B$7*$B$8,-$B$5,,1),0)</f>
        <v>0</v>
      </c>
      <c r="C81" s="223">
        <f>IF(E80&gt;0,B81-D81,0)</f>
        <v>0</v>
      </c>
      <c r="D81" s="223">
        <f>IF(E80&gt;0,B81-(E80*(Interes/12)),0)</f>
        <v>0</v>
      </c>
      <c r="E81" s="224">
        <f>IF(E80&gt;0,IF((E80-D81)&gt;0.01,E80-D81,0),0)</f>
        <v>0</v>
      </c>
      <c r="F81"/>
      <c r="H81" s="225" t="s">
        <v>27</v>
      </c>
      <c r="I81" s="222">
        <f t="shared" si="20"/>
        <v>0</v>
      </c>
      <c r="J81" s="222">
        <f t="shared" si="21"/>
        <v>0</v>
      </c>
      <c r="K81" s="224">
        <f t="shared" si="22"/>
        <v>0</v>
      </c>
      <c r="N81" s="227" t="s">
        <v>27</v>
      </c>
      <c r="O81" s="222">
        <f t="shared" si="24"/>
        <v>0</v>
      </c>
      <c r="P81" s="222">
        <f t="shared" si="25"/>
        <v>0</v>
      </c>
      <c r="Q81" s="224">
        <f t="shared" si="26"/>
        <v>0</v>
      </c>
    </row>
    <row r="82" spans="1:17" ht="16.5" thickBot="1">
      <c r="A82" s="221">
        <v>72</v>
      </c>
      <c r="B82" s="222">
        <f>IF(E81&gt;0,PMT($B$6/12,$B$7*$B$8,-$B$5,,1),0)</f>
        <v>0</v>
      </c>
      <c r="C82" s="223">
        <f>IF(E81&gt;0,B82-D82,0)</f>
        <v>0</v>
      </c>
      <c r="D82" s="223">
        <f>IF(E81&gt;0,B82-(E81*(Interes/12)),0)</f>
        <v>0</v>
      </c>
      <c r="E82" s="224">
        <f>IF(E81&gt;0,IF((E81-D82)&gt;0.01,E81-D82,0),0)</f>
        <v>0</v>
      </c>
      <c r="F82" s="243">
        <f>SUM(D71:D82)</f>
        <v>0</v>
      </c>
      <c r="H82" s="47" t="s">
        <v>28</v>
      </c>
      <c r="I82" s="48">
        <f t="shared" si="20"/>
        <v>0</v>
      </c>
      <c r="J82" s="48">
        <f t="shared" si="21"/>
        <v>0</v>
      </c>
      <c r="K82" s="49">
        <f t="shared" si="22"/>
        <v>0</v>
      </c>
      <c r="N82" s="227" t="s">
        <v>28</v>
      </c>
      <c r="O82" s="222">
        <f t="shared" si="24"/>
        <v>0</v>
      </c>
      <c r="P82" s="222">
        <f t="shared" si="25"/>
        <v>0</v>
      </c>
      <c r="Q82" s="224">
        <f t="shared" si="26"/>
        <v>0</v>
      </c>
    </row>
    <row r="83" spans="1:17" ht="16.5" thickTop="1"/>
  </sheetData>
  <sheetProtection formatColumns="0" formatRows="0"/>
  <mergeCells count="10">
    <mergeCell ref="M59:M70"/>
    <mergeCell ref="M11:M22"/>
    <mergeCell ref="M23:M34"/>
    <mergeCell ref="M35:M46"/>
    <mergeCell ref="M47:M58"/>
    <mergeCell ref="G11:G22"/>
    <mergeCell ref="G59:G70"/>
    <mergeCell ref="G23:G34"/>
    <mergeCell ref="G35:G46"/>
    <mergeCell ref="G47:G58"/>
  </mergeCells>
  <phoneticPr fontId="9" type="noConversion"/>
  <dataValidations xWindow="176" yWindow="232" count="1">
    <dataValidation allowBlank="1" showInputMessage="1" showErrorMessage="1" error="Solo valores enteros comprendidos entre 1 y 5" sqref="I6"/>
  </dataValidations>
  <printOptions horizontalCentered="1"/>
  <pageMargins left="0.82" right="0.75" top="0.39370078740157483" bottom="1" header="0" footer="0"/>
  <pageSetup paperSize="9" scale="41"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U83"/>
  <sheetViews>
    <sheetView topLeftCell="A28" zoomScale="75" workbookViewId="0">
      <selection activeCell="S18" sqref="S18"/>
    </sheetView>
  </sheetViews>
  <sheetFormatPr baseColWidth="10" defaultRowHeight="12.75"/>
  <cols>
    <col min="1" max="1" width="12.1640625" bestFit="1" customWidth="1"/>
    <col min="2" max="2" width="14.83203125" customWidth="1"/>
    <col min="3" max="3" width="13.5" customWidth="1"/>
    <col min="4" max="4" width="19.83203125" customWidth="1"/>
    <col min="5" max="5" width="17.83203125" customWidth="1"/>
    <col min="6" max="6" width="12.33203125" customWidth="1"/>
    <col min="7" max="7" width="6" bestFit="1" customWidth="1"/>
    <col min="8" max="8" width="13.5" bestFit="1" customWidth="1"/>
    <col min="9" max="9" width="16.33203125" customWidth="1"/>
    <col min="10" max="10" width="14.6640625" bestFit="1" customWidth="1"/>
    <col min="11" max="11" width="14.33203125" customWidth="1"/>
    <col min="12" max="12" width="6" customWidth="1"/>
    <col min="13" max="13" width="6" bestFit="1" customWidth="1"/>
    <col min="14" max="14" width="13.5" bestFit="1" customWidth="1"/>
    <col min="15" max="15" width="15.6640625" customWidth="1"/>
    <col min="16" max="16" width="15.1640625" customWidth="1"/>
    <col min="17" max="17" width="17" customWidth="1"/>
    <col min="18" max="18" width="16" customWidth="1"/>
    <col min="19" max="19" width="15.83203125" customWidth="1"/>
    <col min="20" max="20" width="14.5" customWidth="1"/>
  </cols>
  <sheetData>
    <row r="1" spans="1:21" ht="26.25" thickBot="1">
      <c r="A1" s="8">
        <f>'1.Datos Básicos. Product-Serv'!B5</f>
        <v>0</v>
      </c>
      <c r="B1" s="51"/>
      <c r="C1" s="51"/>
      <c r="D1" s="51"/>
      <c r="E1" s="51"/>
      <c r="F1" s="51"/>
      <c r="G1" s="51"/>
      <c r="H1" s="51"/>
      <c r="I1" s="51"/>
      <c r="J1" s="51"/>
      <c r="K1" s="51"/>
      <c r="L1" s="51"/>
      <c r="M1" s="81"/>
      <c r="N1" s="82"/>
      <c r="O1" s="51"/>
      <c r="P1" s="51"/>
      <c r="Q1" s="51"/>
      <c r="R1" s="51"/>
    </row>
    <row r="2" spans="1:21" ht="33" thickTop="1" thickBot="1">
      <c r="A2" s="8"/>
      <c r="B2" s="51"/>
      <c r="C2" s="51"/>
      <c r="D2" s="51"/>
      <c r="E2" s="51"/>
      <c r="F2" s="51"/>
      <c r="G2" s="51"/>
      <c r="H2" s="51"/>
      <c r="I2" s="51"/>
      <c r="J2" s="51"/>
      <c r="K2" s="51"/>
      <c r="L2" s="51"/>
      <c r="M2" s="81"/>
      <c r="N2" s="83" t="s">
        <v>68</v>
      </c>
      <c r="O2" s="54" t="s">
        <v>14</v>
      </c>
      <c r="P2" s="54" t="s">
        <v>66</v>
      </c>
      <c r="Q2" s="55" t="s">
        <v>67</v>
      </c>
      <c r="R2" s="56" t="s">
        <v>15</v>
      </c>
      <c r="S2" s="242" t="s">
        <v>419</v>
      </c>
      <c r="T2" s="242" t="s">
        <v>420</v>
      </c>
    </row>
    <row r="3" spans="1:21" ht="26.25" thickTop="1">
      <c r="A3" s="8" t="s">
        <v>74</v>
      </c>
      <c r="B3" s="51"/>
      <c r="C3" s="105"/>
      <c r="D3" s="51"/>
      <c r="E3" s="51"/>
      <c r="F3" s="51"/>
      <c r="G3" s="50"/>
      <c r="H3" s="51"/>
      <c r="I3" s="51"/>
      <c r="J3" s="51"/>
      <c r="K3" s="51"/>
      <c r="L3" s="51"/>
      <c r="M3" s="81"/>
      <c r="N3" s="27">
        <f>'1.Datos Básicos. Product-Serv'!$B$7</f>
        <v>0</v>
      </c>
      <c r="O3" s="41">
        <f>SUM(O11:O22)</f>
        <v>0</v>
      </c>
      <c r="P3" s="41">
        <f>SUM(P11:P22)</f>
        <v>0</v>
      </c>
      <c r="Q3" s="41">
        <f>SUM(Q11:Q22)</f>
        <v>0</v>
      </c>
      <c r="R3" s="44">
        <f>IF($I$6=1,$B$5-Q3,0)</f>
        <v>0</v>
      </c>
      <c r="S3" s="245">
        <f>IF($E$22=0,0,$E$22-$F$34)</f>
        <v>0</v>
      </c>
      <c r="T3" s="245">
        <f>$F$34</f>
        <v>0</v>
      </c>
      <c r="U3" s="246">
        <f t="shared" ref="U3:U8" si="0">SUM(S3:T3)</f>
        <v>0</v>
      </c>
    </row>
    <row r="4" spans="1:21" ht="16.5" thickBot="1">
      <c r="A4" s="9"/>
      <c r="B4" s="51"/>
      <c r="C4" s="51"/>
      <c r="D4" s="51"/>
      <c r="E4" s="51"/>
      <c r="F4" s="51"/>
      <c r="G4" s="51"/>
      <c r="H4" s="51"/>
      <c r="I4" s="51"/>
      <c r="J4" s="51"/>
      <c r="K4" s="51"/>
      <c r="L4" s="51"/>
      <c r="M4" s="81"/>
      <c r="N4" s="28">
        <f>'1.Datos Básicos. Product-Serv'!$B$7+1</f>
        <v>1</v>
      </c>
      <c r="O4" s="43">
        <f>SUM(O23:O34)</f>
        <v>0</v>
      </c>
      <c r="P4" s="43">
        <f>SUM(P23:P34)</f>
        <v>0</v>
      </c>
      <c r="Q4" s="43">
        <f>SUM(Q23:Q34)</f>
        <v>0</v>
      </c>
      <c r="R4" s="44">
        <f>IF($I$6=1,$B$5-(Q3+Q4),IF($I$6=2,$B$5-Q4,0))</f>
        <v>0</v>
      </c>
      <c r="S4" s="245">
        <f>IF($E$34=0,0,$E$34-$F$46)</f>
        <v>0</v>
      </c>
      <c r="T4" s="245">
        <f>$F$46</f>
        <v>0</v>
      </c>
      <c r="U4" s="246">
        <f t="shared" si="0"/>
        <v>0</v>
      </c>
    </row>
    <row r="5" spans="1:21" ht="17.25" thickTop="1" thickBot="1">
      <c r="A5" s="10" t="s">
        <v>71</v>
      </c>
      <c r="B5" s="111">
        <f>'(0) 3c. Cuadro Renting y L'!J17</f>
        <v>0</v>
      </c>
      <c r="C5" s="57"/>
      <c r="D5" s="51"/>
      <c r="E5" s="51"/>
      <c r="F5" s="51"/>
      <c r="G5" s="51"/>
      <c r="H5" s="51"/>
      <c r="I5" s="51"/>
      <c r="J5" s="51"/>
      <c r="K5" s="51"/>
      <c r="L5" s="51"/>
      <c r="M5" s="81"/>
      <c r="N5" s="28">
        <f>'1.Datos Básicos. Product-Serv'!$B$7+2</f>
        <v>2</v>
      </c>
      <c r="O5" s="43">
        <f>SUM(O35:O46)</f>
        <v>0</v>
      </c>
      <c r="P5" s="43">
        <f>SUM(P35:P46)</f>
        <v>0</v>
      </c>
      <c r="Q5" s="43">
        <f>SUM(Q35:Q46)</f>
        <v>0</v>
      </c>
      <c r="R5" s="44">
        <f>IF($I$6=1,$B$5-(Q3+Q4+Q5),IF($I$6=2,$B$5-(Q4+Q5),IF($I$6=3,$B$5-(Q5),0)))</f>
        <v>0</v>
      </c>
      <c r="S5" s="245">
        <f>IF($E$46=0,0,$E$46-$F$58)</f>
        <v>0</v>
      </c>
      <c r="T5" s="245">
        <f>$F$58</f>
        <v>0</v>
      </c>
      <c r="U5" s="246">
        <f t="shared" si="0"/>
        <v>0</v>
      </c>
    </row>
    <row r="6" spans="1:21" ht="16.5" thickBot="1">
      <c r="A6" s="11" t="s">
        <v>9</v>
      </c>
      <c r="B6" s="115">
        <f>'(0) 3c. Cuadro Renting y L'!J18</f>
        <v>0.05</v>
      </c>
      <c r="C6" s="57"/>
      <c r="D6" s="57"/>
      <c r="E6" s="58" t="s">
        <v>73</v>
      </c>
      <c r="F6" s="59"/>
      <c r="G6" s="60"/>
      <c r="H6" s="60"/>
      <c r="I6" s="110" t="str">
        <f>IF('(0) 3c. Cuadro Renting y L'!J17&gt;0,1,"")</f>
        <v/>
      </c>
      <c r="J6" s="61" t="s">
        <v>75</v>
      </c>
      <c r="K6" s="51"/>
      <c r="L6" s="51"/>
      <c r="M6" s="81"/>
      <c r="N6" s="28">
        <f>'1.Datos Básicos. Product-Serv'!$B$7+3</f>
        <v>3</v>
      </c>
      <c r="O6" s="43">
        <f>SUM(O47:O58)</f>
        <v>0</v>
      </c>
      <c r="P6" s="43">
        <f>SUM(P47:P58)</f>
        <v>0</v>
      </c>
      <c r="Q6" s="43">
        <f>SUM(Q47:Q58)</f>
        <v>0</v>
      </c>
      <c r="R6" s="44">
        <f>IF($I$6=1,$B$5-(Q3+Q4+Q5+Q6),IF($I$6=2,$B$5-(Q4+Q5+Q6),IF($I$6=3,$B$5-(Q5+Q6),IF($I$6=4,$B$5-Q6,0))))</f>
        <v>0</v>
      </c>
      <c r="S6" s="245">
        <f>IF($E$58=0,0,$E$58-$F$70)</f>
        <v>0</v>
      </c>
      <c r="T6" s="245">
        <f>$F$70</f>
        <v>0</v>
      </c>
      <c r="U6" s="246">
        <f t="shared" si="0"/>
        <v>0</v>
      </c>
    </row>
    <row r="7" spans="1:21" ht="16.5" thickBot="1">
      <c r="A7" s="11" t="s">
        <v>10</v>
      </c>
      <c r="B7" s="116">
        <f>'(0) 3c. Cuadro Renting y L'!J19</f>
        <v>4</v>
      </c>
      <c r="C7" s="57"/>
      <c r="D7" s="51"/>
      <c r="E7" s="51"/>
      <c r="F7" s="51"/>
      <c r="G7" s="51"/>
      <c r="H7" s="51"/>
      <c r="I7" s="51"/>
      <c r="J7" s="51"/>
      <c r="K7" s="51"/>
      <c r="L7" s="51"/>
      <c r="M7" s="81"/>
      <c r="N7" s="29">
        <f>'1.Datos Básicos. Product-Serv'!$B$7+4</f>
        <v>4</v>
      </c>
      <c r="O7" s="48">
        <f>SUM(O59:O70)</f>
        <v>0</v>
      </c>
      <c r="P7" s="48">
        <f>SUM(P59:P70)</f>
        <v>0</v>
      </c>
      <c r="Q7" s="48">
        <f>SUM(Q59:Q70)</f>
        <v>0</v>
      </c>
      <c r="R7" s="49">
        <f>IF($I$6=1,$B$5-(Q3+Q4+Q5+Q6+Q7),IF($I$6=2,$B$5-(Q4+Q5+Q6+Q7),IF($I$6=3,$B$5-(Q5+Q6+Q7),IF($I$6=4,$B$5-(Q6+Q7),IF($I$6=5,$B$5-Q7,0)))))</f>
        <v>0</v>
      </c>
      <c r="S7" s="245">
        <f>IF($E$70=0,0,$E$70-$F$82)</f>
        <v>0</v>
      </c>
      <c r="T7" s="245">
        <f>$F$82</f>
        <v>0</v>
      </c>
      <c r="U7" s="246">
        <f t="shared" si="0"/>
        <v>0</v>
      </c>
    </row>
    <row r="8" spans="1:21" ht="17.25" thickTop="1" thickBot="1">
      <c r="A8" s="16" t="s">
        <v>12</v>
      </c>
      <c r="B8" s="117">
        <f>'(0) 3c. Cuadro Renting y L'!J20</f>
        <v>12</v>
      </c>
      <c r="C8" s="57"/>
      <c r="D8" s="51"/>
      <c r="E8" s="51"/>
      <c r="F8" s="51"/>
      <c r="G8" s="51"/>
      <c r="H8" s="51"/>
      <c r="I8" s="51"/>
      <c r="J8" s="51"/>
      <c r="K8" s="51"/>
      <c r="L8" s="51"/>
      <c r="M8" s="81"/>
      <c r="N8" s="228">
        <f>'1.Datos Básicos. Product-Serv'!$B$7+5</f>
        <v>5</v>
      </c>
      <c r="O8" s="48">
        <f>SUM(O71:O82)</f>
        <v>0</v>
      </c>
      <c r="P8" s="48">
        <f>SUM(P71:P82)</f>
        <v>0</v>
      </c>
      <c r="Q8" s="48">
        <f>SUM(Q71:Q82)</f>
        <v>0</v>
      </c>
      <c r="R8" s="49">
        <f>IF($I$6=1,$B$5-(Q3+Q4+Q5+Q6+Q7+Q8),IF($I$6=2,$B$5-(Q4+Q5+Q6+Q7+Q8),IF($I$6=3,$B$5-(Q5+Q6+Q7+Q8),IF($I$6=4,$B$5-(Q6+Q7+Q8),IF($I$6=5,$B$5-(Q7+Q8),IF($I$6=6,$B$5-Q8,0))))))</f>
        <v>0</v>
      </c>
      <c r="S8" s="244"/>
      <c r="T8" s="244"/>
      <c r="U8" s="246">
        <f t="shared" si="0"/>
        <v>0</v>
      </c>
    </row>
    <row r="9" spans="1:21" ht="17.25" thickTop="1" thickBot="1">
      <c r="A9" s="9"/>
      <c r="B9" s="51"/>
      <c r="C9" s="51"/>
      <c r="D9" s="51"/>
      <c r="E9" s="51"/>
      <c r="F9" s="51"/>
      <c r="G9" s="51"/>
      <c r="H9" s="51"/>
      <c r="I9" s="51"/>
      <c r="J9" s="51"/>
      <c r="K9" s="51"/>
      <c r="L9" s="51"/>
      <c r="M9" s="81"/>
      <c r="N9" s="81"/>
      <c r="O9" s="51"/>
      <c r="P9" s="51"/>
      <c r="Q9" s="51"/>
      <c r="R9" s="51"/>
    </row>
    <row r="10" spans="1:21" ht="33" thickTop="1" thickBot="1">
      <c r="A10" s="17" t="s">
        <v>13</v>
      </c>
      <c r="B10" s="62" t="s">
        <v>14</v>
      </c>
      <c r="C10" s="62" t="s">
        <v>64</v>
      </c>
      <c r="D10" s="62" t="s">
        <v>65</v>
      </c>
      <c r="E10" s="63" t="s">
        <v>15</v>
      </c>
      <c r="F10" s="64"/>
      <c r="G10" s="51"/>
      <c r="H10" s="53" t="s">
        <v>42</v>
      </c>
      <c r="I10" s="62" t="s">
        <v>14</v>
      </c>
      <c r="J10" s="62" t="s">
        <v>66</v>
      </c>
      <c r="K10" s="63" t="s">
        <v>67</v>
      </c>
      <c r="L10" s="64"/>
      <c r="M10" s="84"/>
      <c r="N10" s="83" t="s">
        <v>42</v>
      </c>
      <c r="O10" s="54" t="s">
        <v>14</v>
      </c>
      <c r="P10" s="54" t="s">
        <v>66</v>
      </c>
      <c r="Q10" s="56" t="s">
        <v>67</v>
      </c>
      <c r="R10" s="51"/>
    </row>
    <row r="11" spans="1:21" ht="16.5" thickTop="1">
      <c r="A11" s="21">
        <v>1</v>
      </c>
      <c r="B11" s="43">
        <f t="shared" ref="B11:B70" si="1">IF(E10&gt;0,PMT($B$6/12,$B$7*$B$8,-$B$5,,1),0)</f>
        <v>0</v>
      </c>
      <c r="C11" s="232">
        <f>IF(E10&gt;0,B11-D11,0)+'(0) 3c. Cuadro Renting y L'!J21*0</f>
        <v>0</v>
      </c>
      <c r="D11" s="66">
        <f>B11</f>
        <v>0</v>
      </c>
      <c r="E11" s="67">
        <f>Capital-D11</f>
        <v>0</v>
      </c>
      <c r="F11" s="51"/>
      <c r="G11" s="4200">
        <f>IF($B$5=0,$N$3,IF(O3&gt;0,N3,IF(O4&gt;0,N4,IF(O5&gt;0,N5,IF(O6&gt;0,N6,N7)))))</f>
        <v>0</v>
      </c>
      <c r="H11" s="40" t="s">
        <v>17</v>
      </c>
      <c r="I11" s="41">
        <f>$B$11</f>
        <v>0</v>
      </c>
      <c r="J11" s="41">
        <f>C11</f>
        <v>0</v>
      </c>
      <c r="K11" s="68">
        <f>D11</f>
        <v>0</v>
      </c>
      <c r="L11" s="51"/>
      <c r="M11" s="4200">
        <f>'1.Datos Básicos. Product-Serv'!$B$7</f>
        <v>0</v>
      </c>
      <c r="N11" s="85" t="s">
        <v>17</v>
      </c>
      <c r="O11" s="41">
        <f>IF($I$6=1,I11,0)</f>
        <v>0</v>
      </c>
      <c r="P11" s="41">
        <f t="shared" ref="P11:Q22" si="2">IF($I$6=1,J11,0)</f>
        <v>0</v>
      </c>
      <c r="Q11" s="42">
        <f t="shared" si="2"/>
        <v>0</v>
      </c>
      <c r="R11" s="51"/>
    </row>
    <row r="12" spans="1:21" ht="15.75">
      <c r="A12" s="23">
        <v>2</v>
      </c>
      <c r="B12" s="43">
        <f t="shared" si="1"/>
        <v>0</v>
      </c>
      <c r="C12" s="65">
        <f t="shared" ref="C12:C70" si="3">IF(E11&gt;0,B12-D12,0)</f>
        <v>0</v>
      </c>
      <c r="D12" s="65">
        <f t="shared" ref="D12:D70" si="4">IF(E11&gt;0,B12-(E11*(Interes/12)),0)</f>
        <v>0</v>
      </c>
      <c r="E12" s="68">
        <f t="shared" ref="E12:E70" si="5">IF(E11&gt;0,IF((E11-D12)&gt;0.01,E11-D12,0),0)</f>
        <v>0</v>
      </c>
      <c r="F12" s="51"/>
      <c r="G12" s="4201"/>
      <c r="H12" s="40" t="s">
        <v>18</v>
      </c>
      <c r="I12" s="43">
        <f>IF($B$8=12,B12,0)</f>
        <v>0</v>
      </c>
      <c r="J12" s="43">
        <f>IF($B$8=12,C12,0)</f>
        <v>0</v>
      </c>
      <c r="K12" s="68">
        <f>IF($B$8=12,D12,0)</f>
        <v>0</v>
      </c>
      <c r="L12" s="51"/>
      <c r="M12" s="4201"/>
      <c r="N12" s="81" t="s">
        <v>18</v>
      </c>
      <c r="O12" s="43">
        <f t="shared" ref="O12:O22" si="6">IF($I$6=1,I12,0)</f>
        <v>0</v>
      </c>
      <c r="P12" s="43">
        <f t="shared" si="2"/>
        <v>0</v>
      </c>
      <c r="Q12" s="44">
        <f t="shared" si="2"/>
        <v>0</v>
      </c>
      <c r="R12" s="51"/>
    </row>
    <row r="13" spans="1:21" ht="15.75">
      <c r="A13" s="23">
        <v>3</v>
      </c>
      <c r="B13" s="43">
        <f t="shared" si="1"/>
        <v>0</v>
      </c>
      <c r="C13" s="65">
        <f t="shared" si="3"/>
        <v>0</v>
      </c>
      <c r="D13" s="65">
        <f t="shared" si="4"/>
        <v>0</v>
      </c>
      <c r="E13" s="68">
        <f t="shared" si="5"/>
        <v>0</v>
      </c>
      <c r="F13" s="51"/>
      <c r="G13" s="4201"/>
      <c r="H13" s="40" t="s">
        <v>19</v>
      </c>
      <c r="I13" s="43">
        <f>IF($B$8=12,B13,IF($B$8=6,B12,0))</f>
        <v>0</v>
      </c>
      <c r="J13" s="43">
        <f>IF($B$8=12,C13,IF($B$8=6,C12,0))</f>
        <v>0</v>
      </c>
      <c r="K13" s="68">
        <f>IF($B$8=12,D13,IF($B$8=6,D12,0))</f>
        <v>0</v>
      </c>
      <c r="L13" s="51"/>
      <c r="M13" s="4201"/>
      <c r="N13" s="81" t="s">
        <v>19</v>
      </c>
      <c r="O13" s="43">
        <f t="shared" si="6"/>
        <v>0</v>
      </c>
      <c r="P13" s="43">
        <f t="shared" si="2"/>
        <v>0</v>
      </c>
      <c r="Q13" s="44">
        <f t="shared" si="2"/>
        <v>0</v>
      </c>
      <c r="R13" s="51"/>
    </row>
    <row r="14" spans="1:21" ht="15.75">
      <c r="A14" s="23">
        <v>4</v>
      </c>
      <c r="B14" s="43">
        <f t="shared" si="1"/>
        <v>0</v>
      </c>
      <c r="C14" s="65">
        <f t="shared" si="3"/>
        <v>0</v>
      </c>
      <c r="D14" s="65">
        <f t="shared" si="4"/>
        <v>0</v>
      </c>
      <c r="E14" s="68">
        <f t="shared" si="5"/>
        <v>0</v>
      </c>
      <c r="F14" s="51"/>
      <c r="G14" s="4201"/>
      <c r="H14" s="40" t="s">
        <v>20</v>
      </c>
      <c r="I14" s="43">
        <f>IF($B$8=12,B14,IF($B$8=4,B12,IF($B$8=6,0,IF($B$8=3,0,0))))</f>
        <v>0</v>
      </c>
      <c r="J14" s="43">
        <f>IF($B$8=12,C14,IF($B$8=4,C12,IF($B$8=6,0,IF($B$8=3,0,0))))</f>
        <v>0</v>
      </c>
      <c r="K14" s="68">
        <f>IF($B$8=12,D14,IF($B$8=4,D12,IF($B$8=6,0,IF($B$8=3,0,0))))</f>
        <v>0</v>
      </c>
      <c r="L14" s="51"/>
      <c r="M14" s="4201"/>
      <c r="N14" s="81" t="s">
        <v>20</v>
      </c>
      <c r="O14" s="43">
        <f t="shared" si="6"/>
        <v>0</v>
      </c>
      <c r="P14" s="43">
        <f t="shared" si="2"/>
        <v>0</v>
      </c>
      <c r="Q14" s="44">
        <f t="shared" si="2"/>
        <v>0</v>
      </c>
      <c r="R14" s="51"/>
    </row>
    <row r="15" spans="1:21" ht="15.75">
      <c r="A15" s="23">
        <v>5</v>
      </c>
      <c r="B15" s="43">
        <f t="shared" si="1"/>
        <v>0</v>
      </c>
      <c r="C15" s="65">
        <f t="shared" si="3"/>
        <v>0</v>
      </c>
      <c r="D15" s="65">
        <f t="shared" si="4"/>
        <v>0</v>
      </c>
      <c r="E15" s="68">
        <f t="shared" si="5"/>
        <v>0</v>
      </c>
      <c r="F15" s="51"/>
      <c r="G15" s="4201"/>
      <c r="H15" s="40" t="s">
        <v>21</v>
      </c>
      <c r="I15" s="43">
        <f>IF($B$8=12,B15,IF($B$8=4,0,IF($B$8=6,B13,IF($B$8=3,B12,0))))</f>
        <v>0</v>
      </c>
      <c r="J15" s="43">
        <f>IF($B$8=12,C15,IF($B$8=4,0,IF($B$8=6,C13,IF($B$8=3,C12,0))))</f>
        <v>0</v>
      </c>
      <c r="K15" s="68">
        <f>IF($B$8=12,D15,IF($B$8=4,0,IF($B$8=6,D13,IF($B$8=3,D12,0))))</f>
        <v>0</v>
      </c>
      <c r="L15" s="51"/>
      <c r="M15" s="4201"/>
      <c r="N15" s="81" t="s">
        <v>21</v>
      </c>
      <c r="O15" s="43">
        <f t="shared" si="6"/>
        <v>0</v>
      </c>
      <c r="P15" s="43">
        <f t="shared" si="2"/>
        <v>0</v>
      </c>
      <c r="Q15" s="44">
        <f t="shared" si="2"/>
        <v>0</v>
      </c>
      <c r="R15" s="51"/>
    </row>
    <row r="16" spans="1:21" ht="15.75">
      <c r="A16" s="23">
        <v>6</v>
      </c>
      <c r="B16" s="43">
        <f t="shared" si="1"/>
        <v>0</v>
      </c>
      <c r="C16" s="65">
        <f t="shared" si="3"/>
        <v>0</v>
      </c>
      <c r="D16" s="65">
        <f t="shared" si="4"/>
        <v>0</v>
      </c>
      <c r="E16" s="68">
        <f t="shared" si="5"/>
        <v>0</v>
      </c>
      <c r="F16" s="51"/>
      <c r="G16" s="4201"/>
      <c r="H16" s="40" t="s">
        <v>22</v>
      </c>
      <c r="I16" s="43">
        <f>IF($B$8=12,B16,IF($B$8=4,0,IF($B$8=6,0,IF($B$8=3,0,0))))</f>
        <v>0</v>
      </c>
      <c r="J16" s="43">
        <f>IF($B$8=12,C16,IF($B$8=4,0,IF($B$8=6,0,IF($B$8=3,0,0))))</f>
        <v>0</v>
      </c>
      <c r="K16" s="68">
        <f>IF($B$8=12,D16,IF($B$8=4,0,IF($B$8=6,0,IF($B$8=3,0,0))))</f>
        <v>0</v>
      </c>
      <c r="L16" s="51"/>
      <c r="M16" s="4201"/>
      <c r="N16" s="81" t="s">
        <v>22</v>
      </c>
      <c r="O16" s="43">
        <f t="shared" si="6"/>
        <v>0</v>
      </c>
      <c r="P16" s="43">
        <f t="shared" si="2"/>
        <v>0</v>
      </c>
      <c r="Q16" s="44">
        <f t="shared" si="2"/>
        <v>0</v>
      </c>
      <c r="R16" s="51"/>
    </row>
    <row r="17" spans="1:18" ht="15.75">
      <c r="A17" s="23">
        <v>7</v>
      </c>
      <c r="B17" s="43">
        <f t="shared" si="1"/>
        <v>0</v>
      </c>
      <c r="C17" s="65">
        <f t="shared" si="3"/>
        <v>0</v>
      </c>
      <c r="D17" s="65">
        <f t="shared" si="4"/>
        <v>0</v>
      </c>
      <c r="E17" s="68">
        <f t="shared" si="5"/>
        <v>0</v>
      </c>
      <c r="F17" s="51"/>
      <c r="G17" s="4201"/>
      <c r="H17" s="40" t="s">
        <v>23</v>
      </c>
      <c r="I17" s="43">
        <f>IF($B$8=12,B17,IF($B$8=4,B13,IF($B$8=6,B14,IF($B$8=3,0,IF($B$8=2,B12,0)))))</f>
        <v>0</v>
      </c>
      <c r="J17" s="43">
        <f>IF($B$8=12,C17,IF($B$8=4,C13,IF($B$8=6,C14,IF($B$8=3,0,IF($B$8=2,C12,0)))))</f>
        <v>0</v>
      </c>
      <c r="K17" s="68">
        <f>IF($B$8=12,D17,IF($B$8=4,D13,IF($B$8=6,D14,IF($B$8=3,0,IF($B$8=2,D12,0)))))</f>
        <v>0</v>
      </c>
      <c r="L17" s="51"/>
      <c r="M17" s="4201"/>
      <c r="N17" s="81" t="s">
        <v>23</v>
      </c>
      <c r="O17" s="43">
        <f t="shared" si="6"/>
        <v>0</v>
      </c>
      <c r="P17" s="43">
        <f t="shared" si="2"/>
        <v>0</v>
      </c>
      <c r="Q17" s="44">
        <f t="shared" si="2"/>
        <v>0</v>
      </c>
      <c r="R17" s="51"/>
    </row>
    <row r="18" spans="1:18" ht="15.75">
      <c r="A18" s="23">
        <v>8</v>
      </c>
      <c r="B18" s="43">
        <f t="shared" si="1"/>
        <v>0</v>
      </c>
      <c r="C18" s="65">
        <f t="shared" si="3"/>
        <v>0</v>
      </c>
      <c r="D18" s="65">
        <f t="shared" si="4"/>
        <v>0</v>
      </c>
      <c r="E18" s="68">
        <f t="shared" si="5"/>
        <v>0</v>
      </c>
      <c r="F18" s="51"/>
      <c r="G18" s="4201"/>
      <c r="H18" s="40" t="s">
        <v>24</v>
      </c>
      <c r="I18" s="43">
        <f>IF($B$8=12,B18,IF($B$8=4,0,IF($B$8=6,0,IF($B$8=3,0,0))))</f>
        <v>0</v>
      </c>
      <c r="J18" s="43">
        <f>IF($B$8=12,C18,IF($B$8=4,0,IF($B$8=6,0,IF($B$8=3,0,0))))</f>
        <v>0</v>
      </c>
      <c r="K18" s="68">
        <f>IF($B$8=12,D18,IF($B$8=4,0,IF($B$8=6,0,IF($B$8=3,0,0))))</f>
        <v>0</v>
      </c>
      <c r="L18" s="51"/>
      <c r="M18" s="4201"/>
      <c r="N18" s="81" t="s">
        <v>24</v>
      </c>
      <c r="O18" s="43">
        <f t="shared" si="6"/>
        <v>0</v>
      </c>
      <c r="P18" s="43">
        <f t="shared" si="2"/>
        <v>0</v>
      </c>
      <c r="Q18" s="44">
        <f t="shared" si="2"/>
        <v>0</v>
      </c>
      <c r="R18" s="51"/>
    </row>
    <row r="19" spans="1:18" ht="15.75">
      <c r="A19" s="23">
        <v>9</v>
      </c>
      <c r="B19" s="43">
        <f t="shared" si="1"/>
        <v>0</v>
      </c>
      <c r="C19" s="65">
        <f t="shared" si="3"/>
        <v>0</v>
      </c>
      <c r="D19" s="65">
        <f t="shared" si="4"/>
        <v>0</v>
      </c>
      <c r="E19" s="68">
        <f t="shared" si="5"/>
        <v>0</v>
      </c>
      <c r="F19" s="51"/>
      <c r="G19" s="4201"/>
      <c r="H19" s="40" t="s">
        <v>25</v>
      </c>
      <c r="I19" s="43">
        <f>IF($B$8=12,B19,IF($B$8=4,0,IF($B$8=6,B15,IF($B$8=3,B13,0))))</f>
        <v>0</v>
      </c>
      <c r="J19" s="43">
        <f>IF($B$8=12,C19,IF($B$8=4,0,IF($B$8=6,C15,IF($B$8=3,C13,0))))</f>
        <v>0</v>
      </c>
      <c r="K19" s="68">
        <f>IF($B$8=12,D19,IF($B$8=4,0,IF($B$8=6,D15,IF($B$8=3,D13,0))))</f>
        <v>0</v>
      </c>
      <c r="L19" s="51"/>
      <c r="M19" s="4201"/>
      <c r="N19" s="81" t="s">
        <v>25</v>
      </c>
      <c r="O19" s="43">
        <f t="shared" si="6"/>
        <v>0</v>
      </c>
      <c r="P19" s="43">
        <f t="shared" si="2"/>
        <v>0</v>
      </c>
      <c r="Q19" s="44">
        <f t="shared" si="2"/>
        <v>0</v>
      </c>
      <c r="R19" s="51"/>
    </row>
    <row r="20" spans="1:18" ht="15.75">
      <c r="A20" s="23">
        <v>10</v>
      </c>
      <c r="B20" s="43">
        <f t="shared" si="1"/>
        <v>0</v>
      </c>
      <c r="C20" s="65">
        <f t="shared" si="3"/>
        <v>0</v>
      </c>
      <c r="D20" s="65">
        <f t="shared" si="4"/>
        <v>0</v>
      </c>
      <c r="E20" s="68">
        <f t="shared" si="5"/>
        <v>0</v>
      </c>
      <c r="F20" s="51"/>
      <c r="G20" s="4201"/>
      <c r="H20" s="40" t="s">
        <v>26</v>
      </c>
      <c r="I20" s="43">
        <f>IF($B$8=12,B20,IF($B$8=4,B14,IF($B$8=6,0,IF($B$8=3,0,0))))</f>
        <v>0</v>
      </c>
      <c r="J20" s="43">
        <f>IF($B$8=12,C20,IF($B$8=4,C14,IF($B$8=6,0,IF($B$8=3,0,0))))</f>
        <v>0</v>
      </c>
      <c r="K20" s="68">
        <f>IF($B$8=12,D20,IF($B$8=4,D14,IF($B$8=6,0,IF($B$8=3,0,0))))</f>
        <v>0</v>
      </c>
      <c r="L20" s="51"/>
      <c r="M20" s="4201"/>
      <c r="N20" s="81" t="s">
        <v>26</v>
      </c>
      <c r="O20" s="43">
        <f t="shared" si="6"/>
        <v>0</v>
      </c>
      <c r="P20" s="43">
        <f t="shared" si="2"/>
        <v>0</v>
      </c>
      <c r="Q20" s="44">
        <f t="shared" si="2"/>
        <v>0</v>
      </c>
      <c r="R20" s="51"/>
    </row>
    <row r="21" spans="1:18" ht="15.75">
      <c r="A21" s="23">
        <v>11</v>
      </c>
      <c r="B21" s="43">
        <f t="shared" si="1"/>
        <v>0</v>
      </c>
      <c r="C21" s="65">
        <f t="shared" si="3"/>
        <v>0</v>
      </c>
      <c r="D21" s="65">
        <f t="shared" si="4"/>
        <v>0</v>
      </c>
      <c r="E21" s="68">
        <f t="shared" si="5"/>
        <v>0</v>
      </c>
      <c r="F21" s="51"/>
      <c r="G21" s="4201"/>
      <c r="H21" s="40" t="s">
        <v>27</v>
      </c>
      <c r="I21" s="43">
        <f>IF($B$8=12,B21,IF($B$8=4,0,IF($B$8=6,B16,IF($B$8=3,0,0))))</f>
        <v>0</v>
      </c>
      <c r="J21" s="43">
        <f>IF($B$8=12,C21,IF($B$8=4,0,IF($B$8=6,C16,IF($B$8=3,0,0))))</f>
        <v>0</v>
      </c>
      <c r="K21" s="68">
        <f>IF($B$8=12,D21,IF($B$8=4,0,IF($B$8=6,D16,IF($B$8=3,0,0))))</f>
        <v>0</v>
      </c>
      <c r="L21" s="51"/>
      <c r="M21" s="4201"/>
      <c r="N21" s="81" t="s">
        <v>27</v>
      </c>
      <c r="O21" s="43">
        <f t="shared" si="6"/>
        <v>0</v>
      </c>
      <c r="P21" s="43">
        <f t="shared" si="2"/>
        <v>0</v>
      </c>
      <c r="Q21" s="44">
        <f t="shared" si="2"/>
        <v>0</v>
      </c>
      <c r="R21" s="51"/>
    </row>
    <row r="22" spans="1:18" ht="16.5" thickBot="1">
      <c r="A22" s="24">
        <v>12</v>
      </c>
      <c r="B22" s="70">
        <f t="shared" si="1"/>
        <v>0</v>
      </c>
      <c r="C22" s="71">
        <f t="shared" si="3"/>
        <v>0</v>
      </c>
      <c r="D22" s="71">
        <f t="shared" si="4"/>
        <v>0</v>
      </c>
      <c r="E22" s="68">
        <f t="shared" si="5"/>
        <v>0</v>
      </c>
      <c r="F22" s="243">
        <f>SUM(D11:D22)</f>
        <v>0</v>
      </c>
      <c r="G22" s="4202"/>
      <c r="H22" s="73" t="s">
        <v>28</v>
      </c>
      <c r="I22" s="70">
        <f>IF($B$8=12,B22,IF($B$8=4,0,IF($B$8=6,0,IF($B$8=3,0,0))))</f>
        <v>0</v>
      </c>
      <c r="J22" s="70">
        <f>IF($B$8=12,C22,IF($B$8=4,0,IF($B$8=6,0,IF($B$8=3,0,0))))</f>
        <v>0</v>
      </c>
      <c r="K22" s="72">
        <f>IF($B$8=12,D22,IF($B$8=4,0,IF($B$8=6,0,IF($B$8=3,0,0))))</f>
        <v>0</v>
      </c>
      <c r="L22" s="51"/>
      <c r="M22" s="4202"/>
      <c r="N22" s="86" t="s">
        <v>28</v>
      </c>
      <c r="O22" s="45">
        <f t="shared" si="6"/>
        <v>0</v>
      </c>
      <c r="P22" s="45">
        <f t="shared" si="2"/>
        <v>0</v>
      </c>
      <c r="Q22" s="46">
        <f t="shared" si="2"/>
        <v>0</v>
      </c>
      <c r="R22" s="51"/>
    </row>
    <row r="23" spans="1:18" ht="15.75">
      <c r="A23" s="23">
        <v>13</v>
      </c>
      <c r="B23" s="43">
        <f t="shared" si="1"/>
        <v>0</v>
      </c>
      <c r="C23" s="65">
        <f t="shared" si="3"/>
        <v>0</v>
      </c>
      <c r="D23" s="65">
        <f t="shared" si="4"/>
        <v>0</v>
      </c>
      <c r="E23" s="109">
        <f t="shared" si="5"/>
        <v>0</v>
      </c>
      <c r="F23" s="51"/>
      <c r="G23" s="4200">
        <f>G11+1</f>
        <v>1</v>
      </c>
      <c r="H23" s="40" t="s">
        <v>17</v>
      </c>
      <c r="I23" s="43">
        <f>IF($B$8=12,B23,IF($B$8=4,B15,IF($B$8=6,B17,IF($B$8=3,B14,IF($B$8=2,B13,IF($B$8,B12,0))))))</f>
        <v>0</v>
      </c>
      <c r="J23" s="43">
        <f>IF($B$8=12,C23,IF($B$8=4,C15,IF($B$8=6,C17,IF($B$8=3,C14,IF($B$8=2,C13,IF($B$8,C12,0))))))</f>
        <v>0</v>
      </c>
      <c r="K23" s="44">
        <f>IF($B$8=12,D23,IF($B$8=4,D15,IF($B$8=6,D17,IF($B$8=3,D14,IF($B$8=2,D13,IF($B$8,D12,0))))))</f>
        <v>0</v>
      </c>
      <c r="L23" s="51"/>
      <c r="M23" s="4200">
        <f>'1.Datos Básicos. Product-Serv'!$B$7+1</f>
        <v>1</v>
      </c>
      <c r="N23" s="81" t="s">
        <v>17</v>
      </c>
      <c r="O23" s="43">
        <f>IF($I$6=2,I11,IF($I$6=1,I23,0))</f>
        <v>0</v>
      </c>
      <c r="P23" s="43">
        <f t="shared" ref="P23:Q34" si="7">IF($I$6=2,J11,IF($I$6=1,J23,0))</f>
        <v>0</v>
      </c>
      <c r="Q23" s="44">
        <f t="shared" si="7"/>
        <v>0</v>
      </c>
      <c r="R23" s="51"/>
    </row>
    <row r="24" spans="1:18" ht="15.75">
      <c r="A24" s="23">
        <v>14</v>
      </c>
      <c r="B24" s="43">
        <f t="shared" si="1"/>
        <v>0</v>
      </c>
      <c r="C24" s="65">
        <f t="shared" si="3"/>
        <v>0</v>
      </c>
      <c r="D24" s="65">
        <f t="shared" si="4"/>
        <v>0</v>
      </c>
      <c r="E24" s="68">
        <f t="shared" si="5"/>
        <v>0</v>
      </c>
      <c r="F24" s="51"/>
      <c r="G24" s="4201"/>
      <c r="H24" s="40" t="s">
        <v>18</v>
      </c>
      <c r="I24" s="43">
        <f>IF($B$8=12,B24,0)</f>
        <v>0</v>
      </c>
      <c r="J24" s="43">
        <f>IF($B$8=12,C24,0)</f>
        <v>0</v>
      </c>
      <c r="K24" s="44">
        <f>IF($B$8=12,D24,0)</f>
        <v>0</v>
      </c>
      <c r="L24" s="51"/>
      <c r="M24" s="4201"/>
      <c r="N24" s="81" t="s">
        <v>18</v>
      </c>
      <c r="O24" s="43">
        <f t="shared" ref="O24:O34" si="8">IF($I$6=2,I12,IF($I$6=1,I24,0))</f>
        <v>0</v>
      </c>
      <c r="P24" s="43">
        <f t="shared" si="7"/>
        <v>0</v>
      </c>
      <c r="Q24" s="44">
        <f t="shared" si="7"/>
        <v>0</v>
      </c>
      <c r="R24" s="51"/>
    </row>
    <row r="25" spans="1:18" ht="15.75">
      <c r="A25" s="23">
        <v>15</v>
      </c>
      <c r="B25" s="43">
        <f t="shared" si="1"/>
        <v>0</v>
      </c>
      <c r="C25" s="65">
        <f t="shared" si="3"/>
        <v>0</v>
      </c>
      <c r="D25" s="65">
        <f t="shared" si="4"/>
        <v>0</v>
      </c>
      <c r="E25" s="68">
        <f t="shared" si="5"/>
        <v>0</v>
      </c>
      <c r="F25" s="51"/>
      <c r="G25" s="4201"/>
      <c r="H25" s="40" t="s">
        <v>19</v>
      </c>
      <c r="I25" s="43">
        <f>IF($B$8=12,B25,IF($B$8=6,B18,0))</f>
        <v>0</v>
      </c>
      <c r="J25" s="43">
        <f>IF($B$8=12,C25,IF($B$8=6,C18,0))</f>
        <v>0</v>
      </c>
      <c r="K25" s="44">
        <f>IF($B$8=12,D25,IF($B$8=6,D18,0))</f>
        <v>0</v>
      </c>
      <c r="L25" s="51"/>
      <c r="M25" s="4201"/>
      <c r="N25" s="81" t="s">
        <v>19</v>
      </c>
      <c r="O25" s="43">
        <f t="shared" si="8"/>
        <v>0</v>
      </c>
      <c r="P25" s="43">
        <f t="shared" si="7"/>
        <v>0</v>
      </c>
      <c r="Q25" s="44">
        <f t="shared" si="7"/>
        <v>0</v>
      </c>
      <c r="R25" s="51"/>
    </row>
    <row r="26" spans="1:18" ht="15.75">
      <c r="A26" s="23">
        <v>16</v>
      </c>
      <c r="B26" s="43">
        <f t="shared" si="1"/>
        <v>0</v>
      </c>
      <c r="C26" s="65">
        <f t="shared" si="3"/>
        <v>0</v>
      </c>
      <c r="D26" s="65">
        <f t="shared" si="4"/>
        <v>0</v>
      </c>
      <c r="E26" s="68">
        <f t="shared" si="5"/>
        <v>0</v>
      </c>
      <c r="F26" s="51"/>
      <c r="G26" s="4201"/>
      <c r="H26" s="40" t="s">
        <v>20</v>
      </c>
      <c r="I26" s="43">
        <f>IF($B$8=12,B26,IF($B$8=4,B16,IF($B$8=6,0,IF($B$8=3,0,0))))</f>
        <v>0</v>
      </c>
      <c r="J26" s="43">
        <f>IF($B$8=12,C26,IF($B$8=4,C16,IF($B$8=6,0,IF($B$8=3,0,0))))</f>
        <v>0</v>
      </c>
      <c r="K26" s="44">
        <f>IF($B$8=12,D26,IF($B$8=4,D16,IF($B$8=6,0,IF($B$8=3,0,0))))</f>
        <v>0</v>
      </c>
      <c r="L26" s="51"/>
      <c r="M26" s="4201"/>
      <c r="N26" s="81" t="s">
        <v>20</v>
      </c>
      <c r="O26" s="43">
        <f t="shared" si="8"/>
        <v>0</v>
      </c>
      <c r="P26" s="43">
        <f t="shared" si="7"/>
        <v>0</v>
      </c>
      <c r="Q26" s="44">
        <f t="shared" si="7"/>
        <v>0</v>
      </c>
      <c r="R26" s="51"/>
    </row>
    <row r="27" spans="1:18" ht="15.75">
      <c r="A27" s="23">
        <v>17</v>
      </c>
      <c r="B27" s="43">
        <f t="shared" si="1"/>
        <v>0</v>
      </c>
      <c r="C27" s="65">
        <f t="shared" si="3"/>
        <v>0</v>
      </c>
      <c r="D27" s="65">
        <f t="shared" si="4"/>
        <v>0</v>
      </c>
      <c r="E27" s="68">
        <f t="shared" si="5"/>
        <v>0</v>
      </c>
      <c r="F27" s="51"/>
      <c r="G27" s="4201"/>
      <c r="H27" s="40" t="s">
        <v>21</v>
      </c>
      <c r="I27" s="43">
        <f>IF($B$8=12,B27,IF($B$8=4,0,IF($B$8=6,B19,IF($B$8=3,B15,0))))</f>
        <v>0</v>
      </c>
      <c r="J27" s="43">
        <f>IF($B$8=12,C27,IF($B$8=4,0,IF($B$8=6,C19,IF($B$8=3,C15,0))))</f>
        <v>0</v>
      </c>
      <c r="K27" s="44">
        <f>IF($B$8=12,D27,IF($B$8=4,0,IF($B$8=6,D19,IF($B$8=3,D15,0))))</f>
        <v>0</v>
      </c>
      <c r="L27" s="51"/>
      <c r="M27" s="4201"/>
      <c r="N27" s="81" t="s">
        <v>21</v>
      </c>
      <c r="O27" s="43">
        <f t="shared" si="8"/>
        <v>0</v>
      </c>
      <c r="P27" s="43">
        <f t="shared" si="7"/>
        <v>0</v>
      </c>
      <c r="Q27" s="44">
        <f t="shared" si="7"/>
        <v>0</v>
      </c>
      <c r="R27" s="51"/>
    </row>
    <row r="28" spans="1:18" ht="15.75">
      <c r="A28" s="23">
        <v>18</v>
      </c>
      <c r="B28" s="43">
        <f t="shared" si="1"/>
        <v>0</v>
      </c>
      <c r="C28" s="65">
        <f t="shared" si="3"/>
        <v>0</v>
      </c>
      <c r="D28" s="65">
        <f t="shared" si="4"/>
        <v>0</v>
      </c>
      <c r="E28" s="68">
        <f t="shared" si="5"/>
        <v>0</v>
      </c>
      <c r="F28" s="51"/>
      <c r="G28" s="4201"/>
      <c r="H28" s="40" t="s">
        <v>22</v>
      </c>
      <c r="I28" s="43">
        <f>IF($B$8=12,B28,IF($B$8=4,0,IF($B$8=6,0,IF($B$8=3,0,0))))</f>
        <v>0</v>
      </c>
      <c r="J28" s="43">
        <f>IF($B$8=12,C28,IF($B$8=4,0,IF($B$8=6,0,IF($B$8=3,0,0))))</f>
        <v>0</v>
      </c>
      <c r="K28" s="44">
        <f>IF($B$8=12,D28,IF($B$8=4,0,IF($B$8=6,0,IF($B$8=3,0,0))))</f>
        <v>0</v>
      </c>
      <c r="L28" s="51"/>
      <c r="M28" s="4201"/>
      <c r="N28" s="81" t="s">
        <v>22</v>
      </c>
      <c r="O28" s="43">
        <f t="shared" si="8"/>
        <v>0</v>
      </c>
      <c r="P28" s="43">
        <f t="shared" si="7"/>
        <v>0</v>
      </c>
      <c r="Q28" s="44">
        <f t="shared" si="7"/>
        <v>0</v>
      </c>
      <c r="R28" s="51"/>
    </row>
    <row r="29" spans="1:18" ht="15.75">
      <c r="A29" s="23">
        <v>19</v>
      </c>
      <c r="B29" s="43">
        <f t="shared" si="1"/>
        <v>0</v>
      </c>
      <c r="C29" s="65">
        <f t="shared" si="3"/>
        <v>0</v>
      </c>
      <c r="D29" s="65">
        <f t="shared" si="4"/>
        <v>0</v>
      </c>
      <c r="E29" s="68">
        <f t="shared" si="5"/>
        <v>0</v>
      </c>
      <c r="F29" s="51"/>
      <c r="G29" s="4201"/>
      <c r="H29" s="40" t="s">
        <v>23</v>
      </c>
      <c r="I29" s="43">
        <f>IF($B$8=12,B29,IF($B$8=4,B17,IF($B$8=6,B20,IF($B$8=3,0,IF($B$8=2,B14,0)))))</f>
        <v>0</v>
      </c>
      <c r="J29" s="43">
        <f>IF($B$8=12,C29,IF($B$8=4,C17,IF($B$8=6,C20,IF($B$8=3,0,IF($B$8=2,C14,0)))))</f>
        <v>0</v>
      </c>
      <c r="K29" s="44">
        <f>IF($B$8=12,D29,IF($B$8=4,D17,IF($B$8=6,D20,IF($B$8=3,0,IF($B$8=2,D14,0)))))</f>
        <v>0</v>
      </c>
      <c r="L29" s="51"/>
      <c r="M29" s="4201"/>
      <c r="N29" s="81" t="s">
        <v>23</v>
      </c>
      <c r="O29" s="43">
        <f t="shared" si="8"/>
        <v>0</v>
      </c>
      <c r="P29" s="43">
        <f t="shared" si="7"/>
        <v>0</v>
      </c>
      <c r="Q29" s="44">
        <f t="shared" si="7"/>
        <v>0</v>
      </c>
      <c r="R29" s="51"/>
    </row>
    <row r="30" spans="1:18" ht="15.75">
      <c r="A30" s="23">
        <v>20</v>
      </c>
      <c r="B30" s="43">
        <f t="shared" si="1"/>
        <v>0</v>
      </c>
      <c r="C30" s="65">
        <f t="shared" si="3"/>
        <v>0</v>
      </c>
      <c r="D30" s="65">
        <f t="shared" si="4"/>
        <v>0</v>
      </c>
      <c r="E30" s="68">
        <f t="shared" si="5"/>
        <v>0</v>
      </c>
      <c r="F30" s="51"/>
      <c r="G30" s="4201"/>
      <c r="H30" s="40" t="s">
        <v>24</v>
      </c>
      <c r="I30" s="43">
        <f>IF($B$8=12,B30,IF($B$8=4,0,IF($B$8=6,0,IF($B$8=3,0,0))))</f>
        <v>0</v>
      </c>
      <c r="J30" s="43">
        <f>IF($B$8=12,C30,IF($B$8=4,0,IF($B$8=6,0,IF($B$8=3,0,0))))</f>
        <v>0</v>
      </c>
      <c r="K30" s="44">
        <f>IF($B$8=12,D30,IF($B$8=4,0,IF($B$8=6,0,IF($B$8=3,0,0))))</f>
        <v>0</v>
      </c>
      <c r="L30" s="51"/>
      <c r="M30" s="4201"/>
      <c r="N30" s="81" t="s">
        <v>24</v>
      </c>
      <c r="O30" s="43">
        <f t="shared" si="8"/>
        <v>0</v>
      </c>
      <c r="P30" s="43">
        <f t="shared" si="7"/>
        <v>0</v>
      </c>
      <c r="Q30" s="44">
        <f t="shared" si="7"/>
        <v>0</v>
      </c>
      <c r="R30" s="51"/>
    </row>
    <row r="31" spans="1:18" ht="15.75">
      <c r="A31" s="23">
        <v>21</v>
      </c>
      <c r="B31" s="43">
        <f t="shared" si="1"/>
        <v>0</v>
      </c>
      <c r="C31" s="65">
        <f t="shared" si="3"/>
        <v>0</v>
      </c>
      <c r="D31" s="65">
        <f t="shared" si="4"/>
        <v>0</v>
      </c>
      <c r="E31" s="68">
        <f t="shared" si="5"/>
        <v>0</v>
      </c>
      <c r="F31" s="51"/>
      <c r="G31" s="4201"/>
      <c r="H31" s="40" t="s">
        <v>25</v>
      </c>
      <c r="I31" s="43">
        <f>IF($B$8=12,B31,IF($B$8=4,0,IF($B$8=6,B21,IF($B$8=3,B16,0))))</f>
        <v>0</v>
      </c>
      <c r="J31" s="43">
        <f>IF($B$8=12,C31,IF($B$8=4,0,IF($B$8=6,C21,IF($B$8=3,C16,0))))</f>
        <v>0</v>
      </c>
      <c r="K31" s="44">
        <f>IF($B$8=12,D31,IF($B$8=4,0,IF($B$8=6,D21,IF($B$8=3,D16,0))))</f>
        <v>0</v>
      </c>
      <c r="L31" s="51"/>
      <c r="M31" s="4201"/>
      <c r="N31" s="81" t="s">
        <v>25</v>
      </c>
      <c r="O31" s="43">
        <f t="shared" si="8"/>
        <v>0</v>
      </c>
      <c r="P31" s="43">
        <f t="shared" si="7"/>
        <v>0</v>
      </c>
      <c r="Q31" s="44">
        <f t="shared" si="7"/>
        <v>0</v>
      </c>
      <c r="R31" s="51"/>
    </row>
    <row r="32" spans="1:18" ht="15.75">
      <c r="A32" s="23">
        <v>22</v>
      </c>
      <c r="B32" s="43">
        <f t="shared" si="1"/>
        <v>0</v>
      </c>
      <c r="C32" s="65">
        <f t="shared" si="3"/>
        <v>0</v>
      </c>
      <c r="D32" s="65">
        <f t="shared" si="4"/>
        <v>0</v>
      </c>
      <c r="E32" s="68">
        <f t="shared" si="5"/>
        <v>0</v>
      </c>
      <c r="F32" s="51"/>
      <c r="G32" s="4201"/>
      <c r="H32" s="40" t="s">
        <v>26</v>
      </c>
      <c r="I32" s="43">
        <f>IF($B$8=12,B32,IF($B$8=4,B18,IF($B$8=6,0,IF($B$8=3,0,0))))</f>
        <v>0</v>
      </c>
      <c r="J32" s="43">
        <f>IF($B$8=12,C32,IF($B$8=4,C18,IF($B$8=6,0,IF($B$8=3,0,0))))</f>
        <v>0</v>
      </c>
      <c r="K32" s="44">
        <f>IF($B$8=12,D32,IF($B$8=4,D18,IF($B$8=6,0,IF($B$8=3,0,0))))</f>
        <v>0</v>
      </c>
      <c r="L32" s="51"/>
      <c r="M32" s="4201"/>
      <c r="N32" s="81" t="s">
        <v>26</v>
      </c>
      <c r="O32" s="43">
        <f t="shared" si="8"/>
        <v>0</v>
      </c>
      <c r="P32" s="43">
        <f t="shared" si="7"/>
        <v>0</v>
      </c>
      <c r="Q32" s="44">
        <f t="shared" si="7"/>
        <v>0</v>
      </c>
      <c r="R32" s="51"/>
    </row>
    <row r="33" spans="1:18" ht="15.75">
      <c r="A33" s="23">
        <v>23</v>
      </c>
      <c r="B33" s="43">
        <f t="shared" si="1"/>
        <v>0</v>
      </c>
      <c r="C33" s="65">
        <f t="shared" si="3"/>
        <v>0</v>
      </c>
      <c r="D33" s="65">
        <f t="shared" si="4"/>
        <v>0</v>
      </c>
      <c r="E33" s="68">
        <f t="shared" si="5"/>
        <v>0</v>
      </c>
      <c r="F33" s="51"/>
      <c r="G33" s="4201"/>
      <c r="H33" s="40" t="s">
        <v>27</v>
      </c>
      <c r="I33" s="43">
        <f>IF($B$8=12,B33,IF($B$8=4,0,IF($B$8=6,B22,IF($B$8=3,0,0))))</f>
        <v>0</v>
      </c>
      <c r="J33" s="43">
        <f>IF($B$8=12,C33,IF($B$8=4,0,IF($B$8=6,C22,IF($B$8=3,0,0))))</f>
        <v>0</v>
      </c>
      <c r="K33" s="44">
        <f>IF($B$8=12,D33,IF($B$8=4,0,IF($B$8=6,D22,IF($B$8=3,0,0))))</f>
        <v>0</v>
      </c>
      <c r="L33" s="51"/>
      <c r="M33" s="4201"/>
      <c r="N33" s="81" t="s">
        <v>27</v>
      </c>
      <c r="O33" s="43">
        <f t="shared" si="8"/>
        <v>0</v>
      </c>
      <c r="P33" s="43">
        <f t="shared" si="7"/>
        <v>0</v>
      </c>
      <c r="Q33" s="44">
        <f t="shared" si="7"/>
        <v>0</v>
      </c>
      <c r="R33" s="51"/>
    </row>
    <row r="34" spans="1:18" ht="16.5" thickBot="1">
      <c r="A34" s="24">
        <v>24</v>
      </c>
      <c r="B34" s="70">
        <f t="shared" si="1"/>
        <v>0</v>
      </c>
      <c r="C34" s="71">
        <f t="shared" si="3"/>
        <v>0</v>
      </c>
      <c r="D34" s="71">
        <f t="shared" si="4"/>
        <v>0</v>
      </c>
      <c r="E34" s="68">
        <f t="shared" si="5"/>
        <v>0</v>
      </c>
      <c r="F34" s="243">
        <f>SUM(D23:D34)</f>
        <v>0</v>
      </c>
      <c r="G34" s="4202"/>
      <c r="H34" s="73" t="s">
        <v>28</v>
      </c>
      <c r="I34" s="70">
        <f>IF($B$8=12,B34,IF($B$8=4,0,IF($B$8=6,0,IF($B$8=3,0,0))))</f>
        <v>0</v>
      </c>
      <c r="J34" s="70">
        <f>IF($B$8=12,C34,IF($B$8=4,0,IF($B$8=6,0,IF($B$8=3,0,0))))</f>
        <v>0</v>
      </c>
      <c r="K34" s="75">
        <f>IF($B$8=12,D34,IF($B$8=4,0,IF($B$8=6,0,IF($B$8=3,0,0))))</f>
        <v>0</v>
      </c>
      <c r="L34" s="51"/>
      <c r="M34" s="4202"/>
      <c r="N34" s="86" t="s">
        <v>28</v>
      </c>
      <c r="O34" s="43">
        <f t="shared" si="8"/>
        <v>0</v>
      </c>
      <c r="P34" s="43">
        <f t="shared" si="7"/>
        <v>0</v>
      </c>
      <c r="Q34" s="46">
        <f t="shared" si="7"/>
        <v>0</v>
      </c>
      <c r="R34" s="51"/>
    </row>
    <row r="35" spans="1:18" ht="15.75">
      <c r="A35" s="23">
        <v>25</v>
      </c>
      <c r="B35" s="43">
        <f t="shared" si="1"/>
        <v>0</v>
      </c>
      <c r="C35" s="65">
        <f t="shared" si="3"/>
        <v>0</v>
      </c>
      <c r="D35" s="65">
        <f t="shared" si="4"/>
        <v>0</v>
      </c>
      <c r="E35" s="109">
        <f t="shared" si="5"/>
        <v>0</v>
      </c>
      <c r="F35" s="51"/>
      <c r="G35" s="4200">
        <f>G23+1</f>
        <v>2</v>
      </c>
      <c r="H35" s="40" t="s">
        <v>17</v>
      </c>
      <c r="I35" s="43">
        <f>IF($B$8=12,B35,IF($B$8=4,B19,IF($B$8=6,B23,IF($B$8=3,B17,IF($B$8=2,B15,IF($B$8=1,B13,0))))))</f>
        <v>0</v>
      </c>
      <c r="J35" s="43">
        <f>IF($B$8=12,C35,IF($B$8=4,C19,IF($B$8=6,C23,IF($B$8=3,C17,IF($B$8=2,C15,IF($B$8=1,C13,0))))))</f>
        <v>0</v>
      </c>
      <c r="K35" s="44">
        <f>IF($B$8=12,D35,IF($B$8=4,D19,IF($B$8=6,D23,IF($B$8=3,D17,IF($B$8=2,D15,IF($B$8=1,D13,0))))))</f>
        <v>0</v>
      </c>
      <c r="L35" s="51"/>
      <c r="M35" s="4200">
        <f>'1.Datos Básicos. Product-Serv'!$B$7+2</f>
        <v>2</v>
      </c>
      <c r="N35" s="81" t="s">
        <v>17</v>
      </c>
      <c r="O35" s="76">
        <f>IF($I$6=3,I11,IF($I$6=2,I23,IF($I$6=1,I35,0)))</f>
        <v>0</v>
      </c>
      <c r="P35" s="76">
        <f t="shared" ref="P35:Q46" si="9">IF($I$6=3,J11,IF($I$6=2,J23,IF($I$6=1,J35,0)))</f>
        <v>0</v>
      </c>
      <c r="Q35" s="77">
        <f t="shared" si="9"/>
        <v>0</v>
      </c>
      <c r="R35" s="51"/>
    </row>
    <row r="36" spans="1:18" ht="15.75">
      <c r="A36" s="23">
        <v>26</v>
      </c>
      <c r="B36" s="43">
        <f t="shared" si="1"/>
        <v>0</v>
      </c>
      <c r="C36" s="65">
        <f t="shared" si="3"/>
        <v>0</v>
      </c>
      <c r="D36" s="65">
        <f t="shared" si="4"/>
        <v>0</v>
      </c>
      <c r="E36" s="68">
        <f t="shared" si="5"/>
        <v>0</v>
      </c>
      <c r="F36" s="51"/>
      <c r="G36" s="4201"/>
      <c r="H36" s="40" t="s">
        <v>18</v>
      </c>
      <c r="I36" s="43">
        <f>IF($B$8=12,B36,0)</f>
        <v>0</v>
      </c>
      <c r="J36" s="43">
        <f>IF($B$8=12,C36,0)</f>
        <v>0</v>
      </c>
      <c r="K36" s="44">
        <f>IF($B$8=12,D36,0)</f>
        <v>0</v>
      </c>
      <c r="L36" s="51"/>
      <c r="M36" s="4201"/>
      <c r="N36" s="81" t="s">
        <v>18</v>
      </c>
      <c r="O36" s="43">
        <f t="shared" ref="O36:O46" si="10">IF($I$6=3,I12,IF($I$6=2,I24,IF($I$6=1,I36,0)))</f>
        <v>0</v>
      </c>
      <c r="P36" s="43">
        <f t="shared" si="9"/>
        <v>0</v>
      </c>
      <c r="Q36" s="44">
        <f t="shared" si="9"/>
        <v>0</v>
      </c>
      <c r="R36" s="51"/>
    </row>
    <row r="37" spans="1:18" ht="15.75">
      <c r="A37" s="23">
        <v>27</v>
      </c>
      <c r="B37" s="43">
        <f t="shared" si="1"/>
        <v>0</v>
      </c>
      <c r="C37" s="65">
        <f t="shared" si="3"/>
        <v>0</v>
      </c>
      <c r="D37" s="65">
        <f t="shared" si="4"/>
        <v>0</v>
      </c>
      <c r="E37" s="68">
        <f t="shared" si="5"/>
        <v>0</v>
      </c>
      <c r="F37" s="51"/>
      <c r="G37" s="4201"/>
      <c r="H37" s="40" t="s">
        <v>19</v>
      </c>
      <c r="I37" s="43">
        <f>IF($B$8=12,B37,IF($B$8=6,B24,0))</f>
        <v>0</v>
      </c>
      <c r="J37" s="43">
        <f>IF($B$8=12,C37,IF($B$8=6,C24,0))</f>
        <v>0</v>
      </c>
      <c r="K37" s="44">
        <f>IF($B$8=12,D37,IF($B$8=6,D24,0))</f>
        <v>0</v>
      </c>
      <c r="L37" s="51"/>
      <c r="M37" s="4201"/>
      <c r="N37" s="81" t="s">
        <v>19</v>
      </c>
      <c r="O37" s="43">
        <f t="shared" si="10"/>
        <v>0</v>
      </c>
      <c r="P37" s="43">
        <f t="shared" si="9"/>
        <v>0</v>
      </c>
      <c r="Q37" s="44">
        <f t="shared" si="9"/>
        <v>0</v>
      </c>
      <c r="R37" s="51"/>
    </row>
    <row r="38" spans="1:18" ht="15.75">
      <c r="A38" s="23">
        <v>28</v>
      </c>
      <c r="B38" s="43">
        <f t="shared" si="1"/>
        <v>0</v>
      </c>
      <c r="C38" s="65">
        <f t="shared" si="3"/>
        <v>0</v>
      </c>
      <c r="D38" s="65">
        <f t="shared" si="4"/>
        <v>0</v>
      </c>
      <c r="E38" s="68">
        <f t="shared" si="5"/>
        <v>0</v>
      </c>
      <c r="F38" s="51"/>
      <c r="G38" s="4201"/>
      <c r="H38" s="40" t="s">
        <v>20</v>
      </c>
      <c r="I38" s="43">
        <f>IF($B$8=12,B38,IF($B$8=4,B20,IF($B$8=6,0,IF($B$8=3,0,0))))</f>
        <v>0</v>
      </c>
      <c r="J38" s="43">
        <f>IF($B$8=12,C38,IF($B$8=4,C20,IF($B$8=6,0,IF($B$8=3,0,0))))</f>
        <v>0</v>
      </c>
      <c r="K38" s="44">
        <f>IF($B$8=12,D38,IF($B$8=4,D20,IF($B$8=6,0,IF($B$8=3,0,0))))</f>
        <v>0</v>
      </c>
      <c r="L38" s="51"/>
      <c r="M38" s="4201"/>
      <c r="N38" s="81" t="s">
        <v>20</v>
      </c>
      <c r="O38" s="43">
        <f t="shared" si="10"/>
        <v>0</v>
      </c>
      <c r="P38" s="43">
        <f t="shared" si="9"/>
        <v>0</v>
      </c>
      <c r="Q38" s="44">
        <f t="shared" si="9"/>
        <v>0</v>
      </c>
      <c r="R38" s="51"/>
    </row>
    <row r="39" spans="1:18" ht="15.75">
      <c r="A39" s="23">
        <v>29</v>
      </c>
      <c r="B39" s="43">
        <f t="shared" si="1"/>
        <v>0</v>
      </c>
      <c r="C39" s="65">
        <f t="shared" si="3"/>
        <v>0</v>
      </c>
      <c r="D39" s="65">
        <f t="shared" si="4"/>
        <v>0</v>
      </c>
      <c r="E39" s="68">
        <f t="shared" si="5"/>
        <v>0</v>
      </c>
      <c r="F39" s="51"/>
      <c r="G39" s="4201"/>
      <c r="H39" s="40" t="s">
        <v>21</v>
      </c>
      <c r="I39" s="43">
        <f>IF($B$8=12,B39,IF($B$8=4,0,IF($B$8=6,B25,IF($B$8=3,B18,0))))</f>
        <v>0</v>
      </c>
      <c r="J39" s="43">
        <f>IF($B$8=12,C39,IF($B$8=4,0,IF($B$8=6,C25,IF($B$8=3,C18,0))))</f>
        <v>0</v>
      </c>
      <c r="K39" s="44">
        <f>IF($B$8=12,D39,IF($B$8=4,0,IF($B$8=6,D25,IF($B$8=3,D18,0))))</f>
        <v>0</v>
      </c>
      <c r="L39" s="51"/>
      <c r="M39" s="4201"/>
      <c r="N39" s="81" t="s">
        <v>21</v>
      </c>
      <c r="O39" s="43">
        <f t="shared" si="10"/>
        <v>0</v>
      </c>
      <c r="P39" s="43">
        <f t="shared" si="9"/>
        <v>0</v>
      </c>
      <c r="Q39" s="44">
        <f t="shared" si="9"/>
        <v>0</v>
      </c>
      <c r="R39" s="51"/>
    </row>
    <row r="40" spans="1:18" ht="15.75">
      <c r="A40" s="23">
        <v>30</v>
      </c>
      <c r="B40" s="43">
        <f t="shared" si="1"/>
        <v>0</v>
      </c>
      <c r="C40" s="65">
        <f t="shared" si="3"/>
        <v>0</v>
      </c>
      <c r="D40" s="65">
        <f t="shared" si="4"/>
        <v>0</v>
      </c>
      <c r="E40" s="68">
        <f t="shared" si="5"/>
        <v>0</v>
      </c>
      <c r="F40" s="51"/>
      <c r="G40" s="4201"/>
      <c r="H40" s="40" t="s">
        <v>22</v>
      </c>
      <c r="I40" s="43">
        <f>IF($B$8=12,B40,IF($B$8=4,0,IF($B$8=6,0,IF($B$8=3,0,0))))</f>
        <v>0</v>
      </c>
      <c r="J40" s="43">
        <f>IF($B$8=12,C40,IF($B$8=4,0,IF($B$8=6,0,IF($B$8=3,0,0))))</f>
        <v>0</v>
      </c>
      <c r="K40" s="44">
        <f>IF($B$8=12,D40,IF($B$8=4,0,IF($B$8=6,0,IF($B$8=3,0,0))))</f>
        <v>0</v>
      </c>
      <c r="L40" s="51"/>
      <c r="M40" s="4201"/>
      <c r="N40" s="81" t="s">
        <v>22</v>
      </c>
      <c r="O40" s="43">
        <f t="shared" si="10"/>
        <v>0</v>
      </c>
      <c r="P40" s="43">
        <f t="shared" si="9"/>
        <v>0</v>
      </c>
      <c r="Q40" s="44">
        <f t="shared" si="9"/>
        <v>0</v>
      </c>
      <c r="R40" s="51"/>
    </row>
    <row r="41" spans="1:18" ht="15.75">
      <c r="A41" s="23">
        <v>31</v>
      </c>
      <c r="B41" s="43">
        <f t="shared" si="1"/>
        <v>0</v>
      </c>
      <c r="C41" s="65">
        <f t="shared" si="3"/>
        <v>0</v>
      </c>
      <c r="D41" s="65">
        <f t="shared" si="4"/>
        <v>0</v>
      </c>
      <c r="E41" s="68">
        <f t="shared" si="5"/>
        <v>0</v>
      </c>
      <c r="F41" s="51"/>
      <c r="G41" s="4201"/>
      <c r="H41" s="40" t="s">
        <v>23</v>
      </c>
      <c r="I41" s="43">
        <f>IF($B$8=12,B41,IF($B$8=4,B21,IF($B$8=6,B26,IF($B$8=3,0,IF($B$8=2,B16,0)))))</f>
        <v>0</v>
      </c>
      <c r="J41" s="43">
        <f>IF($B$8=12,C41,IF($B$8=4,C21,IF($B$8=6,C26,IF($B$8=3,0,IF($B$8=2,C16,0)))))</f>
        <v>0</v>
      </c>
      <c r="K41" s="44">
        <f>IF($B$8=12,D41,IF($B$8=4,D21,IF($B$8=6,D26,IF($B$8=3,0,IF($B$8=2,D16,0)))))</f>
        <v>0</v>
      </c>
      <c r="L41" s="51"/>
      <c r="M41" s="4201"/>
      <c r="N41" s="81" t="s">
        <v>23</v>
      </c>
      <c r="O41" s="43">
        <f t="shared" si="10"/>
        <v>0</v>
      </c>
      <c r="P41" s="43">
        <f t="shared" si="9"/>
        <v>0</v>
      </c>
      <c r="Q41" s="44">
        <f t="shared" si="9"/>
        <v>0</v>
      </c>
      <c r="R41" s="51"/>
    </row>
    <row r="42" spans="1:18" ht="15.75">
      <c r="A42" s="23">
        <v>32</v>
      </c>
      <c r="B42" s="43">
        <f t="shared" si="1"/>
        <v>0</v>
      </c>
      <c r="C42" s="65">
        <f t="shared" si="3"/>
        <v>0</v>
      </c>
      <c r="D42" s="65">
        <f t="shared" si="4"/>
        <v>0</v>
      </c>
      <c r="E42" s="68">
        <f t="shared" si="5"/>
        <v>0</v>
      </c>
      <c r="F42" s="51"/>
      <c r="G42" s="4201"/>
      <c r="H42" s="40" t="s">
        <v>24</v>
      </c>
      <c r="I42" s="43">
        <f>IF($B$8=12,B42,IF($B$8=4,0,IF($B$8=6,0,IF($B$8=3,0,0))))</f>
        <v>0</v>
      </c>
      <c r="J42" s="43">
        <f>IF($B$8=12,C42,IF($B$8=4,0,IF($B$8=6,0,IF($B$8=3,0,0))))</f>
        <v>0</v>
      </c>
      <c r="K42" s="44">
        <f>IF($B$8=12,D42,IF($B$8=4,0,IF($B$8=6,0,IF($B$8=3,0,0))))</f>
        <v>0</v>
      </c>
      <c r="L42" s="51"/>
      <c r="M42" s="4201"/>
      <c r="N42" s="81" t="s">
        <v>24</v>
      </c>
      <c r="O42" s="43">
        <f t="shared" si="10"/>
        <v>0</v>
      </c>
      <c r="P42" s="43">
        <f t="shared" si="9"/>
        <v>0</v>
      </c>
      <c r="Q42" s="44">
        <f t="shared" si="9"/>
        <v>0</v>
      </c>
      <c r="R42" s="51"/>
    </row>
    <row r="43" spans="1:18" ht="15.75">
      <c r="A43" s="23">
        <v>33</v>
      </c>
      <c r="B43" s="43">
        <f t="shared" si="1"/>
        <v>0</v>
      </c>
      <c r="C43" s="65">
        <f t="shared" si="3"/>
        <v>0</v>
      </c>
      <c r="D43" s="65">
        <f t="shared" si="4"/>
        <v>0</v>
      </c>
      <c r="E43" s="68">
        <f t="shared" si="5"/>
        <v>0</v>
      </c>
      <c r="F43" s="51"/>
      <c r="G43" s="4201"/>
      <c r="H43" s="40" t="s">
        <v>25</v>
      </c>
      <c r="I43" s="43">
        <f>IF($B$8=12,B43,IF($B$8=4,0,IF($B$8=6,B27,IF($B$8=3,B19,0))))</f>
        <v>0</v>
      </c>
      <c r="J43" s="43">
        <f>IF($B$8=12,C43,IF($B$8=4,0,IF($B$8=6,C27,IF($B$8=3,C19,0))))</f>
        <v>0</v>
      </c>
      <c r="K43" s="44">
        <f>IF($B$8=12,D43,IF($B$8=4,0,IF($B$8=6,D27,IF($B$8=3,D19,0))))</f>
        <v>0</v>
      </c>
      <c r="L43" s="51"/>
      <c r="M43" s="4201"/>
      <c r="N43" s="81" t="s">
        <v>25</v>
      </c>
      <c r="O43" s="43">
        <f t="shared" si="10"/>
        <v>0</v>
      </c>
      <c r="P43" s="43">
        <f t="shared" si="9"/>
        <v>0</v>
      </c>
      <c r="Q43" s="44">
        <f t="shared" si="9"/>
        <v>0</v>
      </c>
      <c r="R43" s="51"/>
    </row>
    <row r="44" spans="1:18" ht="15.75">
      <c r="A44" s="23">
        <v>34</v>
      </c>
      <c r="B44" s="43">
        <f t="shared" si="1"/>
        <v>0</v>
      </c>
      <c r="C44" s="65">
        <f t="shared" si="3"/>
        <v>0</v>
      </c>
      <c r="D44" s="65">
        <f t="shared" si="4"/>
        <v>0</v>
      </c>
      <c r="E44" s="68">
        <f t="shared" si="5"/>
        <v>0</v>
      </c>
      <c r="F44" s="51"/>
      <c r="G44" s="4201"/>
      <c r="H44" s="40" t="s">
        <v>26</v>
      </c>
      <c r="I44" s="43">
        <f>IF($B$8=12,B44,IF($B$8=4,B22,IF($B$8=6,0,IF($B$8=3,0,0))))</f>
        <v>0</v>
      </c>
      <c r="J44" s="43">
        <f>IF($B$8=12,C44,IF($B$8=4,C22,IF($B$8=6,0,IF($B$8=3,0,0))))</f>
        <v>0</v>
      </c>
      <c r="K44" s="44">
        <f>IF($B$8=12,D44,IF($B$8=4,D22,IF($B$8=6,0,IF($B$8=3,0,0))))</f>
        <v>0</v>
      </c>
      <c r="L44" s="51"/>
      <c r="M44" s="4201"/>
      <c r="N44" s="81" t="s">
        <v>26</v>
      </c>
      <c r="O44" s="43">
        <f t="shared" si="10"/>
        <v>0</v>
      </c>
      <c r="P44" s="43">
        <f t="shared" si="9"/>
        <v>0</v>
      </c>
      <c r="Q44" s="44">
        <f t="shared" si="9"/>
        <v>0</v>
      </c>
      <c r="R44" s="51"/>
    </row>
    <row r="45" spans="1:18" ht="15.75">
      <c r="A45" s="23">
        <v>35</v>
      </c>
      <c r="B45" s="43">
        <f t="shared" si="1"/>
        <v>0</v>
      </c>
      <c r="C45" s="65">
        <f t="shared" si="3"/>
        <v>0</v>
      </c>
      <c r="D45" s="65">
        <f t="shared" si="4"/>
        <v>0</v>
      </c>
      <c r="E45" s="68">
        <f t="shared" si="5"/>
        <v>0</v>
      </c>
      <c r="F45" s="51"/>
      <c r="G45" s="4201"/>
      <c r="H45" s="40" t="s">
        <v>27</v>
      </c>
      <c r="I45" s="43">
        <f>IF($B$8=12,B45,IF($B$8=4,0,IF($B$8=6,B28,IF($B$8=3,0,0))))</f>
        <v>0</v>
      </c>
      <c r="J45" s="43">
        <f>IF($B$8=12,C45,IF($B$8=4,0,IF($B$8=6,C28,IF($B$8=3,0,0))))</f>
        <v>0</v>
      </c>
      <c r="K45" s="44">
        <f>IF($B$8=12,D45,IF($B$8=4,0,IF($B$8=6,D28,IF($B$8=3,0,0))))</f>
        <v>0</v>
      </c>
      <c r="L45" s="51"/>
      <c r="M45" s="4201"/>
      <c r="N45" s="81" t="s">
        <v>27</v>
      </c>
      <c r="O45" s="43">
        <f t="shared" si="10"/>
        <v>0</v>
      </c>
      <c r="P45" s="43">
        <f t="shared" si="9"/>
        <v>0</v>
      </c>
      <c r="Q45" s="44">
        <f t="shared" si="9"/>
        <v>0</v>
      </c>
      <c r="R45" s="51"/>
    </row>
    <row r="46" spans="1:18" ht="16.5" thickBot="1">
      <c r="A46" s="24">
        <v>36</v>
      </c>
      <c r="B46" s="70">
        <f t="shared" si="1"/>
        <v>0</v>
      </c>
      <c r="C46" s="71">
        <f t="shared" si="3"/>
        <v>0</v>
      </c>
      <c r="D46" s="71">
        <f t="shared" si="4"/>
        <v>0</v>
      </c>
      <c r="E46" s="68">
        <f t="shared" si="5"/>
        <v>0</v>
      </c>
      <c r="F46" s="243">
        <f>SUM(D35:D46)</f>
        <v>0</v>
      </c>
      <c r="G46" s="4202"/>
      <c r="H46" s="73" t="s">
        <v>28</v>
      </c>
      <c r="I46" s="70">
        <f>IF($B$8=12,B46,IF($B$8=4,0,IF($B$8=6,0,IF($B$8=3,0,0))))</f>
        <v>0</v>
      </c>
      <c r="J46" s="70">
        <f>IF($B$8=12,C46,IF($B$8=4,0,IF($B$8=6,0,IF($B$8=3,0,0))))</f>
        <v>0</v>
      </c>
      <c r="K46" s="75">
        <f>IF($B$8=12,D46,IF($B$8=4,0,IF($B$8=6,0,IF($B$8=3,0,0))))</f>
        <v>0</v>
      </c>
      <c r="L46" s="51"/>
      <c r="M46" s="4202"/>
      <c r="N46" s="86" t="s">
        <v>28</v>
      </c>
      <c r="O46" s="45">
        <f t="shared" si="10"/>
        <v>0</v>
      </c>
      <c r="P46" s="45">
        <f t="shared" si="9"/>
        <v>0</v>
      </c>
      <c r="Q46" s="46">
        <f t="shared" si="9"/>
        <v>0</v>
      </c>
      <c r="R46" s="51"/>
    </row>
    <row r="47" spans="1:18" ht="15.75">
      <c r="A47" s="23">
        <v>37</v>
      </c>
      <c r="B47" s="43">
        <f t="shared" si="1"/>
        <v>0</v>
      </c>
      <c r="C47" s="65">
        <f t="shared" si="3"/>
        <v>0</v>
      </c>
      <c r="D47" s="65">
        <f t="shared" si="4"/>
        <v>0</v>
      </c>
      <c r="E47" s="109">
        <f t="shared" si="5"/>
        <v>0</v>
      </c>
      <c r="F47" s="51"/>
      <c r="G47" s="4200">
        <f>G35+1</f>
        <v>3</v>
      </c>
      <c r="H47" s="40" t="s">
        <v>17</v>
      </c>
      <c r="I47" s="43">
        <f>IF($B$8=12,B47,IF($B$8=4,B23,IF($B$8=6,B29,IF($B$8=3,B20,IF($B$8=2,B17,IF($B$8=1,B14,0))))))</f>
        <v>0</v>
      </c>
      <c r="J47" s="43">
        <f>IF($B$8=12,C47,IF($B$8=4,C23,IF($B$8=6,C29,IF($B$8=3,C20,IF($B$8=2,C17,IF($B$8=1,C14,0))))))</f>
        <v>0</v>
      </c>
      <c r="K47" s="44">
        <f>IF($B$8=12,D47,IF($B$8=4,D23,IF($B$8=6,D29,IF($B$8=3,D20,IF($B$8=2,D17,IF($B$8=1,D14,0))))))</f>
        <v>0</v>
      </c>
      <c r="L47" s="51"/>
      <c r="M47" s="4200">
        <f>'1.Datos Básicos. Product-Serv'!$B$7+3</f>
        <v>3</v>
      </c>
      <c r="N47" s="81" t="s">
        <v>17</v>
      </c>
      <c r="O47" s="76">
        <f>IF($I$6=4,I11,IF($I$6=3,I23,IF($I$6=2,I35,IF($I$6=1,I47,0))))</f>
        <v>0</v>
      </c>
      <c r="P47" s="76">
        <f t="shared" ref="P47:Q58" si="11">IF($I$6=4,J11,IF($I$6=3,J23,IF($I$6=2,J35,IF($I$6=1,J47,0))))</f>
        <v>0</v>
      </c>
      <c r="Q47" s="77">
        <f t="shared" si="11"/>
        <v>0</v>
      </c>
      <c r="R47" s="51"/>
    </row>
    <row r="48" spans="1:18" ht="15.75">
      <c r="A48" s="23">
        <v>38</v>
      </c>
      <c r="B48" s="43">
        <f t="shared" si="1"/>
        <v>0</v>
      </c>
      <c r="C48" s="65">
        <f t="shared" si="3"/>
        <v>0</v>
      </c>
      <c r="D48" s="65">
        <f t="shared" si="4"/>
        <v>0</v>
      </c>
      <c r="E48" s="68">
        <f t="shared" si="5"/>
        <v>0</v>
      </c>
      <c r="F48" s="51"/>
      <c r="G48" s="4201"/>
      <c r="H48" s="40" t="s">
        <v>18</v>
      </c>
      <c r="I48" s="43">
        <f>IF($B$8=12,B48,0)</f>
        <v>0</v>
      </c>
      <c r="J48" s="43">
        <f>IF($B$8=12,C48,0)</f>
        <v>0</v>
      </c>
      <c r="K48" s="44">
        <f>IF($B$8=12,D48,0)</f>
        <v>0</v>
      </c>
      <c r="L48" s="51"/>
      <c r="M48" s="4201"/>
      <c r="N48" s="81" t="s">
        <v>18</v>
      </c>
      <c r="O48" s="43">
        <f t="shared" ref="O48:O58" si="12">IF($I$6=4,I12,IF($I$6=3,I24,IF($I$6=2,I36,IF($I$6=1,I48,0))))</f>
        <v>0</v>
      </c>
      <c r="P48" s="43">
        <f t="shared" si="11"/>
        <v>0</v>
      </c>
      <c r="Q48" s="44">
        <f t="shared" si="11"/>
        <v>0</v>
      </c>
      <c r="R48" s="51"/>
    </row>
    <row r="49" spans="1:18" ht="15.75">
      <c r="A49" s="23">
        <v>39</v>
      </c>
      <c r="B49" s="43">
        <f t="shared" si="1"/>
        <v>0</v>
      </c>
      <c r="C49" s="65">
        <f t="shared" si="3"/>
        <v>0</v>
      </c>
      <c r="D49" s="65">
        <f t="shared" si="4"/>
        <v>0</v>
      </c>
      <c r="E49" s="68">
        <f t="shared" si="5"/>
        <v>0</v>
      </c>
      <c r="F49" s="51"/>
      <c r="G49" s="4201"/>
      <c r="H49" s="40" t="s">
        <v>19</v>
      </c>
      <c r="I49" s="43">
        <f>IF($B$8=12,B49,IF($B$8=6,B30,0))</f>
        <v>0</v>
      </c>
      <c r="J49" s="43">
        <f>IF($B$8=12,C49,IF($B$8=6,C30,0))</f>
        <v>0</v>
      </c>
      <c r="K49" s="44">
        <f>IF($B$8=12,D49,IF($B$8=6,D30,0))</f>
        <v>0</v>
      </c>
      <c r="L49" s="51"/>
      <c r="M49" s="4201"/>
      <c r="N49" s="81" t="s">
        <v>19</v>
      </c>
      <c r="O49" s="43">
        <f t="shared" si="12"/>
        <v>0</v>
      </c>
      <c r="P49" s="43">
        <f t="shared" si="11"/>
        <v>0</v>
      </c>
      <c r="Q49" s="44">
        <f t="shared" si="11"/>
        <v>0</v>
      </c>
      <c r="R49" s="51"/>
    </row>
    <row r="50" spans="1:18" ht="15.75">
      <c r="A50" s="23">
        <v>40</v>
      </c>
      <c r="B50" s="43">
        <f t="shared" si="1"/>
        <v>0</v>
      </c>
      <c r="C50" s="65">
        <f t="shared" si="3"/>
        <v>0</v>
      </c>
      <c r="D50" s="65">
        <f t="shared" si="4"/>
        <v>0</v>
      </c>
      <c r="E50" s="68">
        <f t="shared" si="5"/>
        <v>0</v>
      </c>
      <c r="F50" s="51"/>
      <c r="G50" s="4201"/>
      <c r="H50" s="40" t="s">
        <v>20</v>
      </c>
      <c r="I50" s="43">
        <f>IF($B$8=12,B50,IF($B$8=4,B24,IF($B$8=6,0,IF($B$8=3,0,0))))</f>
        <v>0</v>
      </c>
      <c r="J50" s="43">
        <f>IF($B$8=12,C50,IF($B$8=4,C24,IF($B$8=6,0,IF($B$8=3,0,0))))</f>
        <v>0</v>
      </c>
      <c r="K50" s="44">
        <f>IF($B$8=12,D50,IF($B$8=4,D24,IF($B$8=6,0,IF($B$8=3,0,0))))</f>
        <v>0</v>
      </c>
      <c r="L50" s="51"/>
      <c r="M50" s="4201"/>
      <c r="N50" s="81" t="s">
        <v>20</v>
      </c>
      <c r="O50" s="43">
        <f t="shared" si="12"/>
        <v>0</v>
      </c>
      <c r="P50" s="43">
        <f t="shared" si="11"/>
        <v>0</v>
      </c>
      <c r="Q50" s="44">
        <f t="shared" si="11"/>
        <v>0</v>
      </c>
      <c r="R50" s="51"/>
    </row>
    <row r="51" spans="1:18" ht="15.75">
      <c r="A51" s="23">
        <v>41</v>
      </c>
      <c r="B51" s="43">
        <f t="shared" si="1"/>
        <v>0</v>
      </c>
      <c r="C51" s="65">
        <f t="shared" si="3"/>
        <v>0</v>
      </c>
      <c r="D51" s="65">
        <f t="shared" si="4"/>
        <v>0</v>
      </c>
      <c r="E51" s="68">
        <f t="shared" si="5"/>
        <v>0</v>
      </c>
      <c r="F51" s="51"/>
      <c r="G51" s="4201"/>
      <c r="H51" s="40" t="s">
        <v>21</v>
      </c>
      <c r="I51" s="43">
        <f>IF($B$8=12,B51,IF($B$8=4,0,IF($B$8=6,B31,IF($B$8=3,B21,0))))</f>
        <v>0</v>
      </c>
      <c r="J51" s="43">
        <f>IF($B$8=12,C51,IF($B$8=4,0,IF($B$8=6,C31,IF($B$8=3,C21,0))))</f>
        <v>0</v>
      </c>
      <c r="K51" s="44">
        <f>IF($B$8=12,D51,IF($B$8=4,0,IF($B$8=6,D31,IF($B$8=3,D21,0))))</f>
        <v>0</v>
      </c>
      <c r="L51" s="51"/>
      <c r="M51" s="4201"/>
      <c r="N51" s="81" t="s">
        <v>21</v>
      </c>
      <c r="O51" s="43">
        <f t="shared" si="12"/>
        <v>0</v>
      </c>
      <c r="P51" s="43">
        <f t="shared" si="11"/>
        <v>0</v>
      </c>
      <c r="Q51" s="44">
        <f t="shared" si="11"/>
        <v>0</v>
      </c>
      <c r="R51" s="51"/>
    </row>
    <row r="52" spans="1:18" ht="15.75">
      <c r="A52" s="23">
        <v>42</v>
      </c>
      <c r="B52" s="43">
        <f t="shared" si="1"/>
        <v>0</v>
      </c>
      <c r="C52" s="65">
        <f t="shared" si="3"/>
        <v>0</v>
      </c>
      <c r="D52" s="65">
        <f t="shared" si="4"/>
        <v>0</v>
      </c>
      <c r="E52" s="68">
        <f t="shared" si="5"/>
        <v>0</v>
      </c>
      <c r="F52" s="51"/>
      <c r="G52" s="4201"/>
      <c r="H52" s="40" t="s">
        <v>22</v>
      </c>
      <c r="I52" s="43">
        <f>IF($B$8=12,B52,IF($B$8=4,0,IF($B$8=6,0,IF($B$8=3,0,0))))</f>
        <v>0</v>
      </c>
      <c r="J52" s="43">
        <f>IF($B$8=12,C52,IF($B$8=4,0,IF($B$8=6,0,IF($B$8=3,0,0))))</f>
        <v>0</v>
      </c>
      <c r="K52" s="44">
        <f>IF($B$8=12,D52,IF($B$8=4,0,IF($B$8=6,0,IF($B$8=3,0,0))))</f>
        <v>0</v>
      </c>
      <c r="L52" s="51"/>
      <c r="M52" s="4201"/>
      <c r="N52" s="81" t="s">
        <v>22</v>
      </c>
      <c r="O52" s="43">
        <f t="shared" si="12"/>
        <v>0</v>
      </c>
      <c r="P52" s="43">
        <f t="shared" si="11"/>
        <v>0</v>
      </c>
      <c r="Q52" s="44">
        <f t="shared" si="11"/>
        <v>0</v>
      </c>
      <c r="R52" s="51"/>
    </row>
    <row r="53" spans="1:18" ht="15.75">
      <c r="A53" s="23">
        <v>43</v>
      </c>
      <c r="B53" s="43">
        <f t="shared" si="1"/>
        <v>0</v>
      </c>
      <c r="C53" s="65">
        <f t="shared" si="3"/>
        <v>0</v>
      </c>
      <c r="D53" s="65">
        <f t="shared" si="4"/>
        <v>0</v>
      </c>
      <c r="E53" s="68">
        <f t="shared" si="5"/>
        <v>0</v>
      </c>
      <c r="F53" s="51"/>
      <c r="G53" s="4201"/>
      <c r="H53" s="40" t="s">
        <v>23</v>
      </c>
      <c r="I53" s="43">
        <f>IF($B$8=12,B53,IF($B$8=4,B25,IF($B$8=6,B32,IF($B$8=3,0,IF($B$8=2,B18,0)))))</f>
        <v>0</v>
      </c>
      <c r="J53" s="43">
        <f>IF($B$8=12,C53,IF($B$8=4,C25,IF($B$8=6,C32,IF($B$8=3,0,IF($B$8=2,C18,0)))))</f>
        <v>0</v>
      </c>
      <c r="K53" s="44">
        <f>IF($B$8=12,D53,IF($B$8=4,D25,IF($B$8=6,D32,IF($B$8=3,0,IF($B$8=2,D18,0)))))</f>
        <v>0</v>
      </c>
      <c r="L53" s="51"/>
      <c r="M53" s="4201"/>
      <c r="N53" s="81" t="s">
        <v>23</v>
      </c>
      <c r="O53" s="43">
        <f t="shared" si="12"/>
        <v>0</v>
      </c>
      <c r="P53" s="43">
        <f t="shared" si="11"/>
        <v>0</v>
      </c>
      <c r="Q53" s="44">
        <f t="shared" si="11"/>
        <v>0</v>
      </c>
      <c r="R53" s="51"/>
    </row>
    <row r="54" spans="1:18" ht="15.75">
      <c r="A54" s="23">
        <v>44</v>
      </c>
      <c r="B54" s="43">
        <f t="shared" si="1"/>
        <v>0</v>
      </c>
      <c r="C54" s="65">
        <f t="shared" si="3"/>
        <v>0</v>
      </c>
      <c r="D54" s="65">
        <f t="shared" si="4"/>
        <v>0</v>
      </c>
      <c r="E54" s="68">
        <f t="shared" si="5"/>
        <v>0</v>
      </c>
      <c r="F54" s="51"/>
      <c r="G54" s="4201"/>
      <c r="H54" s="40" t="s">
        <v>24</v>
      </c>
      <c r="I54" s="43">
        <f>IF($B$8=12,B54,IF($B$8=4,0,IF($B$8=6,0,IF($B$8=3,0,0))))</f>
        <v>0</v>
      </c>
      <c r="J54" s="43">
        <f>IF($B$8=12,C54,IF($B$8=4,0,IF($B$8=6,0,IF($B$8=3,0,0))))</f>
        <v>0</v>
      </c>
      <c r="K54" s="44">
        <f>IF($B$8=12,D54,IF($B$8=4,0,IF($B$8=6,0,IF($B$8=3,0,0))))</f>
        <v>0</v>
      </c>
      <c r="L54" s="51"/>
      <c r="M54" s="4201"/>
      <c r="N54" s="81" t="s">
        <v>24</v>
      </c>
      <c r="O54" s="43">
        <f t="shared" si="12"/>
        <v>0</v>
      </c>
      <c r="P54" s="43">
        <f t="shared" si="11"/>
        <v>0</v>
      </c>
      <c r="Q54" s="44">
        <f t="shared" si="11"/>
        <v>0</v>
      </c>
      <c r="R54" s="51"/>
    </row>
    <row r="55" spans="1:18" ht="15.75">
      <c r="A55" s="23">
        <v>45</v>
      </c>
      <c r="B55" s="43">
        <f t="shared" si="1"/>
        <v>0</v>
      </c>
      <c r="C55" s="65">
        <f t="shared" si="3"/>
        <v>0</v>
      </c>
      <c r="D55" s="65">
        <f t="shared" si="4"/>
        <v>0</v>
      </c>
      <c r="E55" s="68">
        <f t="shared" si="5"/>
        <v>0</v>
      </c>
      <c r="F55" s="51"/>
      <c r="G55" s="4201"/>
      <c r="H55" s="40" t="s">
        <v>25</v>
      </c>
      <c r="I55" s="43">
        <f>IF($B$8=12,B55,IF($B$8=4,0,IF($B$8=6,B33,IF($B$8=3,B22,0))))</f>
        <v>0</v>
      </c>
      <c r="J55" s="43">
        <f>IF($B$8=12,C55,IF($B$8=4,0,IF($B$8=6,C33,IF($B$8=3,C22,0))))</f>
        <v>0</v>
      </c>
      <c r="K55" s="44">
        <f>IF($B$8=12,D55,IF($B$8=4,0,IF($B$8=6,D33,IF($B$8=3,D22,0))))</f>
        <v>0</v>
      </c>
      <c r="L55" s="51"/>
      <c r="M55" s="4201"/>
      <c r="N55" s="81" t="s">
        <v>25</v>
      </c>
      <c r="O55" s="43">
        <f t="shared" si="12"/>
        <v>0</v>
      </c>
      <c r="P55" s="43">
        <f t="shared" si="11"/>
        <v>0</v>
      </c>
      <c r="Q55" s="44">
        <f t="shared" si="11"/>
        <v>0</v>
      </c>
      <c r="R55" s="51"/>
    </row>
    <row r="56" spans="1:18" ht="15.75">
      <c r="A56" s="23">
        <v>46</v>
      </c>
      <c r="B56" s="43">
        <f t="shared" si="1"/>
        <v>0</v>
      </c>
      <c r="C56" s="65">
        <f t="shared" si="3"/>
        <v>0</v>
      </c>
      <c r="D56" s="65">
        <f t="shared" si="4"/>
        <v>0</v>
      </c>
      <c r="E56" s="68">
        <f t="shared" si="5"/>
        <v>0</v>
      </c>
      <c r="F56" s="51"/>
      <c r="G56" s="4201"/>
      <c r="H56" s="40" t="s">
        <v>26</v>
      </c>
      <c r="I56" s="43">
        <f>IF($B$8=12,B56,IF($B$8=4,B26,IF($B$8=6,0,IF($B$8=3,0,0))))</f>
        <v>0</v>
      </c>
      <c r="J56" s="43">
        <f>IF($B$8=12,C56,IF($B$8=4,C26,IF($B$8=6,0,IF($B$8=3,0,0))))</f>
        <v>0</v>
      </c>
      <c r="K56" s="44">
        <f>IF($B$8=12,D56,IF($B$8=4,D26,IF($B$8=6,0,IF($B$8=3,0,0))))</f>
        <v>0</v>
      </c>
      <c r="L56" s="51"/>
      <c r="M56" s="4201"/>
      <c r="N56" s="81" t="s">
        <v>26</v>
      </c>
      <c r="O56" s="43">
        <f t="shared" si="12"/>
        <v>0</v>
      </c>
      <c r="P56" s="43">
        <f t="shared" si="11"/>
        <v>0</v>
      </c>
      <c r="Q56" s="44">
        <f t="shared" si="11"/>
        <v>0</v>
      </c>
      <c r="R56" s="51"/>
    </row>
    <row r="57" spans="1:18" ht="15.75">
      <c r="A57" s="23">
        <v>47</v>
      </c>
      <c r="B57" s="43">
        <f t="shared" si="1"/>
        <v>0</v>
      </c>
      <c r="C57" s="65">
        <f t="shared" si="3"/>
        <v>0</v>
      </c>
      <c r="D57" s="65">
        <f t="shared" si="4"/>
        <v>0</v>
      </c>
      <c r="E57" s="68">
        <f t="shared" si="5"/>
        <v>0</v>
      </c>
      <c r="F57" s="51"/>
      <c r="G57" s="4201"/>
      <c r="H57" s="40" t="s">
        <v>27</v>
      </c>
      <c r="I57" s="43">
        <f>IF($B$8=12,B57,IF($B$8=4,0,IF($B$8=6,B34,IF($B$8=3,0,0))))</f>
        <v>0</v>
      </c>
      <c r="J57" s="43">
        <f>IF($B$8=12,C57,IF($B$8=4,0,IF($B$8=6,C34,IF($B$8=3,0,0))))</f>
        <v>0</v>
      </c>
      <c r="K57" s="44">
        <f>IF($B$8=12,D57,IF($B$8=4,0,IF($B$8=6,D34,IF($B$8=3,0,0))))</f>
        <v>0</v>
      </c>
      <c r="L57" s="51"/>
      <c r="M57" s="4201"/>
      <c r="N57" s="81" t="s">
        <v>27</v>
      </c>
      <c r="O57" s="43">
        <f t="shared" si="12"/>
        <v>0</v>
      </c>
      <c r="P57" s="43">
        <f t="shared" si="11"/>
        <v>0</v>
      </c>
      <c r="Q57" s="44">
        <f t="shared" si="11"/>
        <v>0</v>
      </c>
      <c r="R57" s="51"/>
    </row>
    <row r="58" spans="1:18" ht="16.5" thickBot="1">
      <c r="A58" s="24">
        <v>48</v>
      </c>
      <c r="B58" s="70">
        <f t="shared" si="1"/>
        <v>0</v>
      </c>
      <c r="C58" s="71">
        <f t="shared" si="3"/>
        <v>0</v>
      </c>
      <c r="D58" s="71">
        <f t="shared" si="4"/>
        <v>0</v>
      </c>
      <c r="E58" s="68">
        <f t="shared" si="5"/>
        <v>0</v>
      </c>
      <c r="F58" s="243">
        <f>SUM(D47:D58)</f>
        <v>0</v>
      </c>
      <c r="G58" s="4202"/>
      <c r="H58" s="73" t="s">
        <v>28</v>
      </c>
      <c r="I58" s="70">
        <f>IF($B$8=12,B58,IF($B$8=4,0,IF($B$8=6,0,IF($B$8=3,0,0))))</f>
        <v>0</v>
      </c>
      <c r="J58" s="70">
        <f>IF($B$8=12,C58,IF($B$8=4,0,IF($B$8=6,0,IF($B$8=3,0,0))))</f>
        <v>0</v>
      </c>
      <c r="K58" s="75">
        <f>IF($B$8=12,D58,IF($B$8=4,0,IF($B$8=6,0,IF($B$8=3,0,0))))</f>
        <v>0</v>
      </c>
      <c r="L58" s="51"/>
      <c r="M58" s="4202"/>
      <c r="N58" s="86" t="s">
        <v>28</v>
      </c>
      <c r="O58" s="45">
        <f t="shared" si="12"/>
        <v>0</v>
      </c>
      <c r="P58" s="45">
        <f t="shared" si="11"/>
        <v>0</v>
      </c>
      <c r="Q58" s="46">
        <f t="shared" si="11"/>
        <v>0</v>
      </c>
      <c r="R58" s="51"/>
    </row>
    <row r="59" spans="1:18" ht="15.75">
      <c r="A59" s="23">
        <v>49</v>
      </c>
      <c r="B59" s="43">
        <f t="shared" si="1"/>
        <v>0</v>
      </c>
      <c r="C59" s="65">
        <f t="shared" si="3"/>
        <v>0</v>
      </c>
      <c r="D59" s="65">
        <f t="shared" si="4"/>
        <v>0</v>
      </c>
      <c r="E59" s="109">
        <f t="shared" si="5"/>
        <v>0</v>
      </c>
      <c r="F59" s="51"/>
      <c r="G59" s="4200">
        <f>G47+1</f>
        <v>4</v>
      </c>
      <c r="H59" s="40" t="s">
        <v>17</v>
      </c>
      <c r="I59" s="43">
        <f>IF($B$8=12,B59,IF($B$8=4,B27,IF($B$8=6,B35,IF($B$8=3,B23,IF($B$8=2,B19,IF($B$8=1,B15,0))))))</f>
        <v>0</v>
      </c>
      <c r="J59" s="43">
        <f>IF($B$8=12,C59,IF($B$8=4,C27,IF($B$8=6,C35,IF($B$8=3,C23,IF($B$8=2,C19,IF($B$8=1,C15,0))))))</f>
        <v>0</v>
      </c>
      <c r="K59" s="44">
        <f>IF($B$8=12,D59,IF($B$8=4,D27,IF($B$8=6,D35,IF($B$8=3,D23,IF($B$8=2,D19,IF($B$8=1,D15,0))))))</f>
        <v>0</v>
      </c>
      <c r="L59" s="51"/>
      <c r="M59" s="4200">
        <f>'1.Datos Básicos. Product-Serv'!$B$7+4</f>
        <v>4</v>
      </c>
      <c r="N59" s="81" t="s">
        <v>17</v>
      </c>
      <c r="O59" s="76">
        <f>IF($I$6=5,I11,IF($I$6=4,I23,IF($I$6=3,I35,IF($I$6=2,I47,IF($I$6=1,I59,0)))))</f>
        <v>0</v>
      </c>
      <c r="P59" s="76">
        <f t="shared" ref="P59:Q70" si="13">IF($I$6=5,J11,IF($I$6=4,J23,IF($I$6=3,J35,IF($I$6=2,J47,IF($I$6=1,J59,0)))))</f>
        <v>0</v>
      </c>
      <c r="Q59" s="77">
        <f t="shared" si="13"/>
        <v>0</v>
      </c>
      <c r="R59" s="51"/>
    </row>
    <row r="60" spans="1:18" ht="15.75">
      <c r="A60" s="23">
        <v>50</v>
      </c>
      <c r="B60" s="43">
        <f t="shared" si="1"/>
        <v>0</v>
      </c>
      <c r="C60" s="65">
        <f t="shared" si="3"/>
        <v>0</v>
      </c>
      <c r="D60" s="65">
        <f t="shared" si="4"/>
        <v>0</v>
      </c>
      <c r="E60" s="68">
        <f t="shared" si="5"/>
        <v>0</v>
      </c>
      <c r="F60" s="51"/>
      <c r="G60" s="4201"/>
      <c r="H60" s="40" t="s">
        <v>18</v>
      </c>
      <c r="I60" s="43">
        <f>IF($B$8=12,B60,0)</f>
        <v>0</v>
      </c>
      <c r="J60" s="43">
        <f>IF($B$8=12,C60,0)</f>
        <v>0</v>
      </c>
      <c r="K60" s="44">
        <f>IF($B$8=12,D60,0)</f>
        <v>0</v>
      </c>
      <c r="L60" s="51"/>
      <c r="M60" s="4201"/>
      <c r="N60" s="81" t="s">
        <v>18</v>
      </c>
      <c r="O60" s="43">
        <f t="shared" ref="O60:O70" si="14">IF($I$6=5,I12,IF($I$6=4,I24,IF($I$6=3,I36,IF($I$6=2,I48,IF($I$6=1,I60,0)))))</f>
        <v>0</v>
      </c>
      <c r="P60" s="43">
        <f t="shared" si="13"/>
        <v>0</v>
      </c>
      <c r="Q60" s="44">
        <f t="shared" si="13"/>
        <v>0</v>
      </c>
      <c r="R60" s="51"/>
    </row>
    <row r="61" spans="1:18" ht="15.75">
      <c r="A61" s="23">
        <v>51</v>
      </c>
      <c r="B61" s="43">
        <f t="shared" si="1"/>
        <v>0</v>
      </c>
      <c r="C61" s="65">
        <f t="shared" si="3"/>
        <v>0</v>
      </c>
      <c r="D61" s="65">
        <f t="shared" si="4"/>
        <v>0</v>
      </c>
      <c r="E61" s="68">
        <f t="shared" si="5"/>
        <v>0</v>
      </c>
      <c r="F61" s="51"/>
      <c r="G61" s="4201"/>
      <c r="H61" s="40" t="s">
        <v>19</v>
      </c>
      <c r="I61" s="43">
        <f>IF($B$8=12,B61,IF($B$8=6,B36,0))</f>
        <v>0</v>
      </c>
      <c r="J61" s="43">
        <f>IF($B$8=12,C61,IF($B$8=6,C36,0))</f>
        <v>0</v>
      </c>
      <c r="K61" s="44">
        <f>IF($B$8=12,D61,IF($B$8=6,D36,0))</f>
        <v>0</v>
      </c>
      <c r="L61" s="51"/>
      <c r="M61" s="4201"/>
      <c r="N61" s="81" t="s">
        <v>19</v>
      </c>
      <c r="O61" s="43">
        <f t="shared" si="14"/>
        <v>0</v>
      </c>
      <c r="P61" s="43">
        <f t="shared" si="13"/>
        <v>0</v>
      </c>
      <c r="Q61" s="44">
        <f t="shared" si="13"/>
        <v>0</v>
      </c>
      <c r="R61" s="51"/>
    </row>
    <row r="62" spans="1:18" ht="15.75">
      <c r="A62" s="23">
        <v>52</v>
      </c>
      <c r="B62" s="43">
        <f t="shared" si="1"/>
        <v>0</v>
      </c>
      <c r="C62" s="65">
        <f t="shared" si="3"/>
        <v>0</v>
      </c>
      <c r="D62" s="65">
        <f t="shared" si="4"/>
        <v>0</v>
      </c>
      <c r="E62" s="68">
        <f t="shared" si="5"/>
        <v>0</v>
      </c>
      <c r="F62" s="51"/>
      <c r="G62" s="4201"/>
      <c r="H62" s="40" t="s">
        <v>20</v>
      </c>
      <c r="I62" s="43">
        <f>IF($B$8=12,B62,IF($B$8=4,B28,IF($B$8=6,0,IF($B$8=3,0,0))))</f>
        <v>0</v>
      </c>
      <c r="J62" s="43">
        <f>IF($B$8=12,C62,IF($B$8=4,C28,IF($B$8=6,0,IF($B$8=3,0,0))))</f>
        <v>0</v>
      </c>
      <c r="K62" s="44">
        <f>IF($B$8=12,D62,IF($B$8=4,D28,IF($B$8=6,0,IF($B$8=3,0,0))))</f>
        <v>0</v>
      </c>
      <c r="L62" s="51"/>
      <c r="M62" s="4201"/>
      <c r="N62" s="81" t="s">
        <v>20</v>
      </c>
      <c r="O62" s="43">
        <f t="shared" si="14"/>
        <v>0</v>
      </c>
      <c r="P62" s="43">
        <f t="shared" si="13"/>
        <v>0</v>
      </c>
      <c r="Q62" s="44">
        <f t="shared" si="13"/>
        <v>0</v>
      </c>
      <c r="R62" s="51"/>
    </row>
    <row r="63" spans="1:18" ht="15.75">
      <c r="A63" s="23">
        <v>53</v>
      </c>
      <c r="B63" s="43">
        <f t="shared" si="1"/>
        <v>0</v>
      </c>
      <c r="C63" s="65">
        <f t="shared" si="3"/>
        <v>0</v>
      </c>
      <c r="D63" s="65">
        <f t="shared" si="4"/>
        <v>0</v>
      </c>
      <c r="E63" s="68">
        <f t="shared" si="5"/>
        <v>0</v>
      </c>
      <c r="F63" s="51"/>
      <c r="G63" s="4201"/>
      <c r="H63" s="40" t="s">
        <v>21</v>
      </c>
      <c r="I63" s="43">
        <f>IF($B$8=12,B63,IF($B$8=4,0,IF($B$8=6,B37,IF($B$8=3,B24,0))))</f>
        <v>0</v>
      </c>
      <c r="J63" s="43">
        <f>IF($B$8=12,C63,IF($B$8=4,0,IF($B$8=6,C37,IF($B$8=3,C24,0))))</f>
        <v>0</v>
      </c>
      <c r="K63" s="44">
        <f>IF($B$8=12,D63,IF($B$8=4,0,IF($B$8=6,D37,IF($B$8=3,D24,0))))</f>
        <v>0</v>
      </c>
      <c r="L63" s="51"/>
      <c r="M63" s="4201"/>
      <c r="N63" s="81" t="s">
        <v>21</v>
      </c>
      <c r="O63" s="43">
        <f t="shared" si="14"/>
        <v>0</v>
      </c>
      <c r="P63" s="43">
        <f t="shared" si="13"/>
        <v>0</v>
      </c>
      <c r="Q63" s="44">
        <f t="shared" si="13"/>
        <v>0</v>
      </c>
      <c r="R63" s="51"/>
    </row>
    <row r="64" spans="1:18" ht="15.75">
      <c r="A64" s="23">
        <v>54</v>
      </c>
      <c r="B64" s="43">
        <f t="shared" si="1"/>
        <v>0</v>
      </c>
      <c r="C64" s="65">
        <f t="shared" si="3"/>
        <v>0</v>
      </c>
      <c r="D64" s="65">
        <f t="shared" si="4"/>
        <v>0</v>
      </c>
      <c r="E64" s="68">
        <f t="shared" si="5"/>
        <v>0</v>
      </c>
      <c r="F64" s="51"/>
      <c r="G64" s="4201"/>
      <c r="H64" s="40" t="s">
        <v>22</v>
      </c>
      <c r="I64" s="43">
        <f>IF($B$8=12,B64,IF($B$8=4,0,IF($B$8=6,0,IF($B$8=3,0,0))))</f>
        <v>0</v>
      </c>
      <c r="J64" s="43">
        <f>IF($B$8=12,C64,IF($B$8=4,0,IF($B$8=6,0,IF($B$8=3,0,0))))</f>
        <v>0</v>
      </c>
      <c r="K64" s="44">
        <f>IF($B$8=12,D64,IF($B$8=4,0,IF($B$8=6,0,IF($B$8=3,0,0))))</f>
        <v>0</v>
      </c>
      <c r="L64" s="51"/>
      <c r="M64" s="4201"/>
      <c r="N64" s="81" t="s">
        <v>22</v>
      </c>
      <c r="O64" s="43">
        <f t="shared" si="14"/>
        <v>0</v>
      </c>
      <c r="P64" s="43">
        <f t="shared" si="13"/>
        <v>0</v>
      </c>
      <c r="Q64" s="44">
        <f t="shared" si="13"/>
        <v>0</v>
      </c>
      <c r="R64" s="51"/>
    </row>
    <row r="65" spans="1:18" ht="15.75">
      <c r="A65" s="23">
        <v>55</v>
      </c>
      <c r="B65" s="43">
        <f t="shared" si="1"/>
        <v>0</v>
      </c>
      <c r="C65" s="65">
        <f t="shared" si="3"/>
        <v>0</v>
      </c>
      <c r="D65" s="65">
        <f t="shared" si="4"/>
        <v>0</v>
      </c>
      <c r="E65" s="68">
        <f t="shared" si="5"/>
        <v>0</v>
      </c>
      <c r="F65" s="51"/>
      <c r="G65" s="4201"/>
      <c r="H65" s="40" t="s">
        <v>23</v>
      </c>
      <c r="I65" s="43">
        <f>IF($B$8=12,B65,IF($B$8=4,B29,IF($B$8=6,B38,IF($B$8=3,0,IF($B$8=2,B20,0)))))</f>
        <v>0</v>
      </c>
      <c r="J65" s="43">
        <f>IF($B$8=12,C65,IF($B$8=4,C29,IF($B$8=6,C38,IF($B$8=3,0,IF($B$8=2,C20,0)))))</f>
        <v>0</v>
      </c>
      <c r="K65" s="44">
        <f>IF($B$8=12,D65,IF($B$8=4,D29,IF($B$8=6,D38,IF($B$8=3,0,IF($B$8=2,D20,0)))))</f>
        <v>0</v>
      </c>
      <c r="L65" s="51"/>
      <c r="M65" s="4201"/>
      <c r="N65" s="81" t="s">
        <v>23</v>
      </c>
      <c r="O65" s="43">
        <f t="shared" si="14"/>
        <v>0</v>
      </c>
      <c r="P65" s="43">
        <f t="shared" si="13"/>
        <v>0</v>
      </c>
      <c r="Q65" s="44">
        <f t="shared" si="13"/>
        <v>0</v>
      </c>
      <c r="R65" s="51"/>
    </row>
    <row r="66" spans="1:18" ht="15.75">
      <c r="A66" s="23">
        <v>56</v>
      </c>
      <c r="B66" s="43">
        <f t="shared" si="1"/>
        <v>0</v>
      </c>
      <c r="C66" s="65">
        <f t="shared" si="3"/>
        <v>0</v>
      </c>
      <c r="D66" s="65">
        <f t="shared" si="4"/>
        <v>0</v>
      </c>
      <c r="E66" s="68">
        <f t="shared" si="5"/>
        <v>0</v>
      </c>
      <c r="F66" s="51"/>
      <c r="G66" s="4201"/>
      <c r="H66" s="40" t="s">
        <v>24</v>
      </c>
      <c r="I66" s="43">
        <f>IF($B$8=12,B66,IF($B$8=4,0,IF($B$8=6,0,IF($B$8=3,0,0))))</f>
        <v>0</v>
      </c>
      <c r="J66" s="43">
        <f>IF($B$8=12,C66,IF($B$8=4,0,IF($B$8=6,0,IF($B$8=3,0,0))))</f>
        <v>0</v>
      </c>
      <c r="K66" s="44">
        <f>IF($B$8=12,D66,IF($B$8=4,0,IF($B$8=6,0,IF($B$8=3,0,0))))</f>
        <v>0</v>
      </c>
      <c r="L66" s="51"/>
      <c r="M66" s="4201"/>
      <c r="N66" s="81" t="s">
        <v>24</v>
      </c>
      <c r="O66" s="43">
        <f t="shared" si="14"/>
        <v>0</v>
      </c>
      <c r="P66" s="43">
        <f t="shared" si="13"/>
        <v>0</v>
      </c>
      <c r="Q66" s="44">
        <f t="shared" si="13"/>
        <v>0</v>
      </c>
      <c r="R66" s="51"/>
    </row>
    <row r="67" spans="1:18" ht="15.75">
      <c r="A67" s="23">
        <v>57</v>
      </c>
      <c r="B67" s="43">
        <f t="shared" si="1"/>
        <v>0</v>
      </c>
      <c r="C67" s="65">
        <f t="shared" si="3"/>
        <v>0</v>
      </c>
      <c r="D67" s="65">
        <f t="shared" si="4"/>
        <v>0</v>
      </c>
      <c r="E67" s="68">
        <f t="shared" si="5"/>
        <v>0</v>
      </c>
      <c r="F67" s="51"/>
      <c r="G67" s="4201"/>
      <c r="H67" s="40" t="s">
        <v>25</v>
      </c>
      <c r="I67" s="43">
        <f>IF($B$8=12,B67,IF($B$8=4,0,IF($B$8=6,B39,IF($B$8=3,B25,0))))</f>
        <v>0</v>
      </c>
      <c r="J67" s="43">
        <f>IF($B$8=12,C67,IF($B$8=4,0,IF($B$8=6,C39,IF($B$8=3,C25,0))))</f>
        <v>0</v>
      </c>
      <c r="K67" s="44">
        <f>IF($B$8=12,D67,IF($B$8=4,0,IF($B$8=6,D39,IF($B$8=3,D25,0))))</f>
        <v>0</v>
      </c>
      <c r="L67" s="51"/>
      <c r="M67" s="4201"/>
      <c r="N67" s="81" t="s">
        <v>25</v>
      </c>
      <c r="O67" s="43">
        <f t="shared" si="14"/>
        <v>0</v>
      </c>
      <c r="P67" s="43">
        <f t="shared" si="13"/>
        <v>0</v>
      </c>
      <c r="Q67" s="44">
        <f t="shared" si="13"/>
        <v>0</v>
      </c>
      <c r="R67" s="51"/>
    </row>
    <row r="68" spans="1:18" ht="15.75">
      <c r="A68" s="23">
        <v>58</v>
      </c>
      <c r="B68" s="43">
        <f t="shared" si="1"/>
        <v>0</v>
      </c>
      <c r="C68" s="65">
        <f t="shared" si="3"/>
        <v>0</v>
      </c>
      <c r="D68" s="65">
        <f t="shared" si="4"/>
        <v>0</v>
      </c>
      <c r="E68" s="68">
        <f t="shared" si="5"/>
        <v>0</v>
      </c>
      <c r="F68" s="51"/>
      <c r="G68" s="4201"/>
      <c r="H68" s="40" t="s">
        <v>26</v>
      </c>
      <c r="I68" s="43">
        <f>IF($B$8=12,B68,IF($B$8=4,B30,IF($B$8=6,0,IF($B$8=3,0,0))))</f>
        <v>0</v>
      </c>
      <c r="J68" s="43">
        <f>IF($B$8=12,C68,IF($B$8=4,C30,IF($B$8=6,0,IF($B$8=3,0,0))))</f>
        <v>0</v>
      </c>
      <c r="K68" s="44">
        <f>IF($B$8=12,D68,IF($B$8=4,D30,IF($B$8=6,0,IF($B$8=3,0,0))))</f>
        <v>0</v>
      </c>
      <c r="L68" s="51"/>
      <c r="M68" s="4201"/>
      <c r="N68" s="81" t="s">
        <v>26</v>
      </c>
      <c r="O68" s="43">
        <f t="shared" si="14"/>
        <v>0</v>
      </c>
      <c r="P68" s="43">
        <f t="shared" si="13"/>
        <v>0</v>
      </c>
      <c r="Q68" s="44">
        <f t="shared" si="13"/>
        <v>0</v>
      </c>
      <c r="R68" s="51"/>
    </row>
    <row r="69" spans="1:18" ht="15.75">
      <c r="A69" s="23">
        <v>59</v>
      </c>
      <c r="B69" s="43">
        <f t="shared" si="1"/>
        <v>0</v>
      </c>
      <c r="C69" s="65">
        <f t="shared" si="3"/>
        <v>0</v>
      </c>
      <c r="D69" s="65">
        <f t="shared" si="4"/>
        <v>0</v>
      </c>
      <c r="E69" s="68">
        <f t="shared" si="5"/>
        <v>0</v>
      </c>
      <c r="F69" s="51"/>
      <c r="G69" s="4201"/>
      <c r="H69" s="40" t="s">
        <v>27</v>
      </c>
      <c r="I69" s="43">
        <f>IF($B$8=12,B69,IF($B$8=4,0,IF($B$8=6,B40,IF($B$8=3,0,0))))</f>
        <v>0</v>
      </c>
      <c r="J69" s="43">
        <f>IF($B$8=12,C69,IF($B$8=4,0,IF($B$8=6,C40,IF($B$8=3,0,0))))</f>
        <v>0</v>
      </c>
      <c r="K69" s="44">
        <f>IF($B$8=12,D69,IF($B$8=4,0,IF($B$8=6,D40,IF($B$8=3,0,0))))</f>
        <v>0</v>
      </c>
      <c r="L69" s="51"/>
      <c r="M69" s="4201"/>
      <c r="N69" s="81" t="s">
        <v>27</v>
      </c>
      <c r="O69" s="43">
        <f t="shared" si="14"/>
        <v>0</v>
      </c>
      <c r="P69" s="43">
        <f t="shared" si="13"/>
        <v>0</v>
      </c>
      <c r="Q69" s="44">
        <f t="shared" si="13"/>
        <v>0</v>
      </c>
      <c r="R69" s="51"/>
    </row>
    <row r="70" spans="1:18" ht="16.5" thickBot="1">
      <c r="A70" s="26">
        <v>60</v>
      </c>
      <c r="B70" s="48">
        <f t="shared" si="1"/>
        <v>0</v>
      </c>
      <c r="C70" s="78">
        <f t="shared" si="3"/>
        <v>0</v>
      </c>
      <c r="D70" s="78">
        <f t="shared" si="4"/>
        <v>0</v>
      </c>
      <c r="E70" s="49">
        <f t="shared" si="5"/>
        <v>0</v>
      </c>
      <c r="F70" s="243">
        <f>SUM(D59:D70)</f>
        <v>0</v>
      </c>
      <c r="G70" s="4202"/>
      <c r="H70" s="47" t="s">
        <v>28</v>
      </c>
      <c r="I70" s="48">
        <f>IF($B$8=12,B70,IF($B$8=4,0,IF($B$8=6,0,IF($B$8=3,0,0))))</f>
        <v>0</v>
      </c>
      <c r="J70" s="48">
        <f>IF($B$8=12,C70,IF($B$8=4,0,IF($B$8=6,0,IF($B$8=3,0,0))))</f>
        <v>0</v>
      </c>
      <c r="K70" s="49">
        <f>IF($B$8=12,D70,IF($B$8=4,0,IF($B$8=6,0,IF($B$8=3,0,0))))</f>
        <v>0</v>
      </c>
      <c r="L70" s="51"/>
      <c r="M70" s="4202"/>
      <c r="N70" s="87" t="s">
        <v>28</v>
      </c>
      <c r="O70" s="48">
        <f t="shared" si="14"/>
        <v>0</v>
      </c>
      <c r="P70" s="48">
        <f t="shared" si="13"/>
        <v>0</v>
      </c>
      <c r="Q70" s="49">
        <f t="shared" si="13"/>
        <v>0</v>
      </c>
      <c r="R70" s="51"/>
    </row>
    <row r="71" spans="1:18" ht="16.5" thickTop="1">
      <c r="A71" s="23">
        <v>61</v>
      </c>
      <c r="B71" s="43">
        <f t="shared" ref="B71:B82" si="15">IF(E70&gt;0,PMT($B$6/12,$B$7*$B$8,-$B$5,,1),0)</f>
        <v>0</v>
      </c>
      <c r="C71" s="65">
        <f t="shared" ref="C71:C82" si="16">IF(E70&gt;0,B71-D71,0)</f>
        <v>0</v>
      </c>
      <c r="D71" s="65">
        <f t="shared" ref="D71:D82" si="17">IF(E70&gt;0,B71-(E70*(Interes/12)),0)</f>
        <v>0</v>
      </c>
      <c r="E71" s="44">
        <f t="shared" ref="E71:E82" si="18">IF(E70&gt;0,IF((E70-D71)&gt;0.01,E70-D71,0),0)</f>
        <v>0</v>
      </c>
      <c r="F71" s="51"/>
      <c r="G71" s="51"/>
      <c r="H71" s="226" t="s">
        <v>17</v>
      </c>
      <c r="I71" s="43">
        <f t="shared" ref="I71:I82" si="19">IF($B$8=12,B71,IF($B$8=4,0,IF($B$8=6,0,IF($B$8=3,0,0))))</f>
        <v>0</v>
      </c>
      <c r="J71" s="43">
        <f t="shared" ref="J71:J82" si="20">IF($B$8=12,C71,IF($B$8=4,0,IF($B$8=6,0,IF($B$8=3,0,0))))</f>
        <v>0</v>
      </c>
      <c r="K71" s="44">
        <f t="shared" ref="K71:K82" si="21">IF($B$8=12,D71,IF($B$8=4,0,IF($B$8=6,0,IF($B$8=3,0,0))))</f>
        <v>0</v>
      </c>
      <c r="L71" s="51"/>
      <c r="M71" s="81"/>
      <c r="N71" s="81" t="s">
        <v>17</v>
      </c>
      <c r="O71" s="43">
        <f t="shared" ref="O71:O82" si="22">IF($I$6=5,I23,IF($I$6=4,I35,IF($I$6=3,I47,IF($I$6=2,I59,IF($I$6=1,I71,0)))))</f>
        <v>0</v>
      </c>
      <c r="P71" s="43">
        <f t="shared" ref="P71:P82" si="23">IF($I$6=5,J23,IF($I$6=4,J35,IF($I$6=3,J47,IF($I$6=2,J59,IF($I$6=1,J71,0)))))</f>
        <v>0</v>
      </c>
      <c r="Q71" s="44">
        <f t="shared" ref="Q71:Q82" si="24">IF($I$6=5,K23,IF($I$6=4,K35,IF($I$6=3,K47,IF($I$6=2,K59,IF($I$6=1,K71,0)))))</f>
        <v>0</v>
      </c>
      <c r="R71" s="51"/>
    </row>
    <row r="72" spans="1:18" ht="15.75">
      <c r="A72" s="23">
        <v>62</v>
      </c>
      <c r="B72" s="43">
        <f t="shared" si="15"/>
        <v>0</v>
      </c>
      <c r="C72" s="65">
        <f t="shared" si="16"/>
        <v>0</v>
      </c>
      <c r="D72" s="65">
        <f t="shared" si="17"/>
        <v>0</v>
      </c>
      <c r="E72" s="44">
        <f t="shared" si="18"/>
        <v>0</v>
      </c>
      <c r="H72" s="226" t="s">
        <v>18</v>
      </c>
      <c r="I72" s="43">
        <f t="shared" si="19"/>
        <v>0</v>
      </c>
      <c r="J72" s="43">
        <f t="shared" si="20"/>
        <v>0</v>
      </c>
      <c r="K72" s="44">
        <f t="shared" si="21"/>
        <v>0</v>
      </c>
      <c r="N72" s="81" t="s">
        <v>18</v>
      </c>
      <c r="O72" s="43">
        <f t="shared" si="22"/>
        <v>0</v>
      </c>
      <c r="P72" s="43">
        <f t="shared" si="23"/>
        <v>0</v>
      </c>
      <c r="Q72" s="44">
        <f t="shared" si="24"/>
        <v>0</v>
      </c>
    </row>
    <row r="73" spans="1:18" ht="15.75">
      <c r="A73" s="23">
        <v>63</v>
      </c>
      <c r="B73" s="43">
        <f t="shared" si="15"/>
        <v>0</v>
      </c>
      <c r="C73" s="65">
        <f t="shared" si="16"/>
        <v>0</v>
      </c>
      <c r="D73" s="65">
        <f t="shared" si="17"/>
        <v>0</v>
      </c>
      <c r="E73" s="44">
        <f t="shared" si="18"/>
        <v>0</v>
      </c>
      <c r="H73" s="226" t="s">
        <v>19</v>
      </c>
      <c r="I73" s="43">
        <f t="shared" si="19"/>
        <v>0</v>
      </c>
      <c r="J73" s="43">
        <f t="shared" si="20"/>
        <v>0</v>
      </c>
      <c r="K73" s="44">
        <f t="shared" si="21"/>
        <v>0</v>
      </c>
      <c r="N73" s="81" t="s">
        <v>19</v>
      </c>
      <c r="O73" s="43">
        <f t="shared" si="22"/>
        <v>0</v>
      </c>
      <c r="P73" s="43">
        <f t="shared" si="23"/>
        <v>0</v>
      </c>
      <c r="Q73" s="44">
        <f t="shared" si="24"/>
        <v>0</v>
      </c>
    </row>
    <row r="74" spans="1:18" ht="15.75">
      <c r="A74" s="23">
        <v>64</v>
      </c>
      <c r="B74" s="43">
        <f t="shared" si="15"/>
        <v>0</v>
      </c>
      <c r="C74" s="65">
        <f t="shared" si="16"/>
        <v>0</v>
      </c>
      <c r="D74" s="65">
        <f t="shared" si="17"/>
        <v>0</v>
      </c>
      <c r="E74" s="44">
        <f t="shared" si="18"/>
        <v>0</v>
      </c>
      <c r="H74" s="226" t="s">
        <v>20</v>
      </c>
      <c r="I74" s="43">
        <f t="shared" si="19"/>
        <v>0</v>
      </c>
      <c r="J74" s="43">
        <f t="shared" si="20"/>
        <v>0</v>
      </c>
      <c r="K74" s="44">
        <f t="shared" si="21"/>
        <v>0</v>
      </c>
      <c r="N74" s="81" t="s">
        <v>20</v>
      </c>
      <c r="O74" s="43">
        <f t="shared" si="22"/>
        <v>0</v>
      </c>
      <c r="P74" s="43">
        <f t="shared" si="23"/>
        <v>0</v>
      </c>
      <c r="Q74" s="44">
        <f t="shared" si="24"/>
        <v>0</v>
      </c>
    </row>
    <row r="75" spans="1:18" ht="15.75">
      <c r="A75" s="23">
        <v>65</v>
      </c>
      <c r="B75" s="43">
        <f t="shared" si="15"/>
        <v>0</v>
      </c>
      <c r="C75" s="65">
        <f t="shared" si="16"/>
        <v>0</v>
      </c>
      <c r="D75" s="65">
        <f t="shared" si="17"/>
        <v>0</v>
      </c>
      <c r="E75" s="44">
        <f t="shared" si="18"/>
        <v>0</v>
      </c>
      <c r="H75" s="226" t="s">
        <v>21</v>
      </c>
      <c r="I75" s="43">
        <f t="shared" si="19"/>
        <v>0</v>
      </c>
      <c r="J75" s="43">
        <f t="shared" si="20"/>
        <v>0</v>
      </c>
      <c r="K75" s="44">
        <f t="shared" si="21"/>
        <v>0</v>
      </c>
      <c r="N75" s="81" t="s">
        <v>21</v>
      </c>
      <c r="O75" s="43">
        <f t="shared" si="22"/>
        <v>0</v>
      </c>
      <c r="P75" s="43">
        <f t="shared" si="23"/>
        <v>0</v>
      </c>
      <c r="Q75" s="44">
        <f t="shared" si="24"/>
        <v>0</v>
      </c>
    </row>
    <row r="76" spans="1:18" ht="15.75">
      <c r="A76" s="23">
        <v>66</v>
      </c>
      <c r="B76" s="43">
        <f t="shared" si="15"/>
        <v>0</v>
      </c>
      <c r="C76" s="65">
        <f t="shared" si="16"/>
        <v>0</v>
      </c>
      <c r="D76" s="65">
        <f t="shared" si="17"/>
        <v>0</v>
      </c>
      <c r="E76" s="44">
        <f t="shared" si="18"/>
        <v>0</v>
      </c>
      <c r="H76" s="226" t="s">
        <v>22</v>
      </c>
      <c r="I76" s="43">
        <f t="shared" si="19"/>
        <v>0</v>
      </c>
      <c r="J76" s="43">
        <f t="shared" si="20"/>
        <v>0</v>
      </c>
      <c r="K76" s="44">
        <f t="shared" si="21"/>
        <v>0</v>
      </c>
      <c r="N76" s="81" t="s">
        <v>22</v>
      </c>
      <c r="O76" s="43">
        <f t="shared" si="22"/>
        <v>0</v>
      </c>
      <c r="P76" s="43">
        <f t="shared" si="23"/>
        <v>0</v>
      </c>
      <c r="Q76" s="44">
        <f t="shared" si="24"/>
        <v>0</v>
      </c>
    </row>
    <row r="77" spans="1:18" ht="15.75">
      <c r="A77" s="23">
        <v>67</v>
      </c>
      <c r="B77" s="43">
        <f t="shared" si="15"/>
        <v>0</v>
      </c>
      <c r="C77" s="65">
        <f t="shared" si="16"/>
        <v>0</v>
      </c>
      <c r="D77" s="65">
        <f t="shared" si="17"/>
        <v>0</v>
      </c>
      <c r="E77" s="44">
        <f t="shared" si="18"/>
        <v>0</v>
      </c>
      <c r="H77" s="226" t="s">
        <v>23</v>
      </c>
      <c r="I77" s="43">
        <f t="shared" si="19"/>
        <v>0</v>
      </c>
      <c r="J77" s="43">
        <f t="shared" si="20"/>
        <v>0</v>
      </c>
      <c r="K77" s="44">
        <f t="shared" si="21"/>
        <v>0</v>
      </c>
      <c r="N77" s="81" t="s">
        <v>23</v>
      </c>
      <c r="O77" s="43">
        <f t="shared" si="22"/>
        <v>0</v>
      </c>
      <c r="P77" s="43">
        <f t="shared" si="23"/>
        <v>0</v>
      </c>
      <c r="Q77" s="44">
        <f t="shared" si="24"/>
        <v>0</v>
      </c>
    </row>
    <row r="78" spans="1:18" ht="15.75">
      <c r="A78" s="23">
        <v>68</v>
      </c>
      <c r="B78" s="43">
        <f t="shared" si="15"/>
        <v>0</v>
      </c>
      <c r="C78" s="65">
        <f t="shared" si="16"/>
        <v>0</v>
      </c>
      <c r="D78" s="65">
        <f t="shared" si="17"/>
        <v>0</v>
      </c>
      <c r="E78" s="44">
        <f t="shared" si="18"/>
        <v>0</v>
      </c>
      <c r="H78" s="226" t="s">
        <v>24</v>
      </c>
      <c r="I78" s="43">
        <f t="shared" si="19"/>
        <v>0</v>
      </c>
      <c r="J78" s="43">
        <f t="shared" si="20"/>
        <v>0</v>
      </c>
      <c r="K78" s="44">
        <f t="shared" si="21"/>
        <v>0</v>
      </c>
      <c r="N78" s="81" t="s">
        <v>24</v>
      </c>
      <c r="O78" s="43">
        <f t="shared" si="22"/>
        <v>0</v>
      </c>
      <c r="P78" s="43">
        <f t="shared" si="23"/>
        <v>0</v>
      </c>
      <c r="Q78" s="44">
        <f t="shared" si="24"/>
        <v>0</v>
      </c>
    </row>
    <row r="79" spans="1:18" ht="15.75">
      <c r="A79" s="23">
        <v>69</v>
      </c>
      <c r="B79" s="43">
        <f t="shared" si="15"/>
        <v>0</v>
      </c>
      <c r="C79" s="65">
        <f t="shared" si="16"/>
        <v>0</v>
      </c>
      <c r="D79" s="65">
        <f t="shared" si="17"/>
        <v>0</v>
      </c>
      <c r="E79" s="44">
        <f t="shared" si="18"/>
        <v>0</v>
      </c>
      <c r="H79" s="226" t="s">
        <v>25</v>
      </c>
      <c r="I79" s="43">
        <f t="shared" si="19"/>
        <v>0</v>
      </c>
      <c r="J79" s="43">
        <f t="shared" si="20"/>
        <v>0</v>
      </c>
      <c r="K79" s="44">
        <f t="shared" si="21"/>
        <v>0</v>
      </c>
      <c r="N79" s="81" t="s">
        <v>25</v>
      </c>
      <c r="O79" s="43">
        <f t="shared" si="22"/>
        <v>0</v>
      </c>
      <c r="P79" s="43">
        <f t="shared" si="23"/>
        <v>0</v>
      </c>
      <c r="Q79" s="44">
        <f t="shared" si="24"/>
        <v>0</v>
      </c>
    </row>
    <row r="80" spans="1:18" ht="15.75">
      <c r="A80" s="23">
        <v>70</v>
      </c>
      <c r="B80" s="43">
        <f t="shared" si="15"/>
        <v>0</v>
      </c>
      <c r="C80" s="65">
        <f t="shared" si="16"/>
        <v>0</v>
      </c>
      <c r="D80" s="65">
        <f t="shared" si="17"/>
        <v>0</v>
      </c>
      <c r="E80" s="44">
        <f t="shared" si="18"/>
        <v>0</v>
      </c>
      <c r="H80" s="226" t="s">
        <v>26</v>
      </c>
      <c r="I80" s="43">
        <f t="shared" si="19"/>
        <v>0</v>
      </c>
      <c r="J80" s="43">
        <f t="shared" si="20"/>
        <v>0</v>
      </c>
      <c r="K80" s="44">
        <f t="shared" si="21"/>
        <v>0</v>
      </c>
      <c r="N80" s="81" t="s">
        <v>26</v>
      </c>
      <c r="O80" s="43">
        <f t="shared" si="22"/>
        <v>0</v>
      </c>
      <c r="P80" s="43">
        <f t="shared" si="23"/>
        <v>0</v>
      </c>
      <c r="Q80" s="44">
        <f t="shared" si="24"/>
        <v>0</v>
      </c>
    </row>
    <row r="81" spans="1:17" ht="15.75">
      <c r="A81" s="23">
        <v>71</v>
      </c>
      <c r="B81" s="43">
        <f t="shared" si="15"/>
        <v>0</v>
      </c>
      <c r="C81" s="65">
        <f t="shared" si="16"/>
        <v>0</v>
      </c>
      <c r="D81" s="65">
        <f t="shared" si="17"/>
        <v>0</v>
      </c>
      <c r="E81" s="44">
        <f t="shared" si="18"/>
        <v>0</v>
      </c>
      <c r="H81" s="226" t="s">
        <v>27</v>
      </c>
      <c r="I81" s="43">
        <f t="shared" si="19"/>
        <v>0</v>
      </c>
      <c r="J81" s="43">
        <f t="shared" si="20"/>
        <v>0</v>
      </c>
      <c r="K81" s="44">
        <f t="shared" si="21"/>
        <v>0</v>
      </c>
      <c r="N81" s="81" t="s">
        <v>27</v>
      </c>
      <c r="O81" s="43">
        <f t="shared" si="22"/>
        <v>0</v>
      </c>
      <c r="P81" s="43">
        <f t="shared" si="23"/>
        <v>0</v>
      </c>
      <c r="Q81" s="44">
        <f t="shared" si="24"/>
        <v>0</v>
      </c>
    </row>
    <row r="82" spans="1:17" ht="16.5" thickBot="1">
      <c r="A82" s="26">
        <v>72</v>
      </c>
      <c r="B82" s="48">
        <f t="shared" si="15"/>
        <v>0</v>
      </c>
      <c r="C82" s="78">
        <f t="shared" si="16"/>
        <v>0</v>
      </c>
      <c r="D82" s="78">
        <f t="shared" si="17"/>
        <v>0</v>
      </c>
      <c r="E82" s="49">
        <f t="shared" si="18"/>
        <v>0</v>
      </c>
      <c r="F82" s="243">
        <f>SUM(D71:D82)</f>
        <v>0</v>
      </c>
      <c r="H82" s="47" t="s">
        <v>28</v>
      </c>
      <c r="I82" s="48">
        <f t="shared" si="19"/>
        <v>0</v>
      </c>
      <c r="J82" s="48">
        <f t="shared" si="20"/>
        <v>0</v>
      </c>
      <c r="K82" s="49">
        <f t="shared" si="21"/>
        <v>0</v>
      </c>
      <c r="N82" s="87" t="s">
        <v>28</v>
      </c>
      <c r="O82" s="48">
        <f t="shared" si="22"/>
        <v>0</v>
      </c>
      <c r="P82" s="48">
        <f t="shared" si="23"/>
        <v>0</v>
      </c>
      <c r="Q82" s="49">
        <f t="shared" si="24"/>
        <v>0</v>
      </c>
    </row>
    <row r="83" spans="1:17" ht="13.5" thickTop="1"/>
  </sheetData>
  <sheetProtection sheet="1" formatColumns="0" formatRows="0"/>
  <mergeCells count="10">
    <mergeCell ref="G11:G22"/>
    <mergeCell ref="M11:M22"/>
    <mergeCell ref="G23:G34"/>
    <mergeCell ref="M23:M34"/>
    <mergeCell ref="G59:G70"/>
    <mergeCell ref="M59:M70"/>
    <mergeCell ref="G35:G46"/>
    <mergeCell ref="M35:M46"/>
    <mergeCell ref="G47:G58"/>
    <mergeCell ref="M47:M58"/>
  </mergeCells>
  <phoneticPr fontId="9" type="noConversion"/>
  <dataValidations count="2">
    <dataValidation type="whole" allowBlank="1" showInputMessage="1" showErrorMessage="1" prompt="12 - Pago mensual_x000a_  6 - Pago bimestral_x000a_  4 - Pago trimestral_x000a_  3 - Pago cuatrimestral_x000a_  2 - Pago semestral_x000a_  1 - Pago anual" sqref="B8">
      <formula1>1</formula1>
      <formula2>12</formula2>
    </dataValidation>
    <dataValidation allowBlank="1" showInputMessage="1" showErrorMessage="1" error="Solo valores enteros comprendidos entre 1 y 5" sqref="I6"/>
  </dataValidations>
  <pageMargins left="0.75" right="0.75" top="1" bottom="1" header="0"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U83"/>
  <sheetViews>
    <sheetView zoomScale="75" workbookViewId="0">
      <selection activeCell="T16" sqref="T16"/>
    </sheetView>
  </sheetViews>
  <sheetFormatPr baseColWidth="10" defaultRowHeight="12.75"/>
  <cols>
    <col min="1" max="1" width="22.83203125" customWidth="1"/>
    <col min="2" max="2" width="17.6640625" customWidth="1"/>
    <col min="3" max="3" width="14" customWidth="1"/>
    <col min="4" max="4" width="17.33203125" customWidth="1"/>
    <col min="5" max="5" width="15.5" customWidth="1"/>
    <col min="6" max="6" width="16.33203125" customWidth="1"/>
    <col min="7" max="7" width="6" bestFit="1" customWidth="1"/>
    <col min="9" max="9" width="12.1640625" bestFit="1" customWidth="1"/>
    <col min="10" max="10" width="15" bestFit="1" customWidth="1"/>
    <col min="11" max="11" width="15" customWidth="1"/>
    <col min="12" max="12" width="4.5" customWidth="1"/>
    <col min="13" max="13" width="6" bestFit="1" customWidth="1"/>
    <col min="14" max="14" width="12.1640625" bestFit="1" customWidth="1"/>
    <col min="15" max="15" width="14.5" customWidth="1"/>
    <col min="16" max="16" width="14.1640625" customWidth="1"/>
    <col min="17" max="17" width="15.1640625" customWidth="1"/>
    <col min="18" max="18" width="15.33203125" customWidth="1"/>
    <col min="19" max="19" width="13.5" customWidth="1"/>
  </cols>
  <sheetData>
    <row r="1" spans="1:21" ht="26.25" thickBot="1">
      <c r="A1" s="8">
        <f>'1.Datos Básicos. Product-Serv'!B5</f>
        <v>0</v>
      </c>
      <c r="B1" s="51"/>
      <c r="C1" s="51"/>
      <c r="D1" s="51"/>
      <c r="E1" s="51"/>
      <c r="F1" s="51"/>
      <c r="G1" s="51"/>
      <c r="H1" s="51"/>
      <c r="I1" s="51"/>
      <c r="J1" s="51"/>
      <c r="K1" s="51"/>
      <c r="L1" s="51"/>
      <c r="M1" s="81"/>
      <c r="N1" s="82"/>
      <c r="O1" s="51"/>
      <c r="P1" s="51"/>
      <c r="Q1" s="51"/>
      <c r="R1" s="51"/>
    </row>
    <row r="2" spans="1:21" ht="33" thickTop="1" thickBot="1">
      <c r="A2" s="8"/>
      <c r="B2" s="51"/>
      <c r="C2" s="51"/>
      <c r="D2" s="51"/>
      <c r="E2" s="51"/>
      <c r="F2" s="51"/>
      <c r="G2" s="51"/>
      <c r="H2" s="51"/>
      <c r="I2" s="51"/>
      <c r="J2" s="51"/>
      <c r="K2" s="51"/>
      <c r="L2" s="51"/>
      <c r="M2" s="81"/>
      <c r="N2" s="83" t="s">
        <v>68</v>
      </c>
      <c r="O2" s="54" t="s">
        <v>14</v>
      </c>
      <c r="P2" s="54" t="s">
        <v>66</v>
      </c>
      <c r="Q2" s="55" t="s">
        <v>67</v>
      </c>
      <c r="R2" s="56" t="s">
        <v>15</v>
      </c>
      <c r="S2" s="242" t="s">
        <v>419</v>
      </c>
      <c r="T2" s="242" t="s">
        <v>420</v>
      </c>
    </row>
    <row r="3" spans="1:21" ht="26.25" thickTop="1">
      <c r="A3" s="8" t="s">
        <v>86</v>
      </c>
      <c r="B3" s="51"/>
      <c r="C3" s="105"/>
      <c r="D3" s="51"/>
      <c r="E3" s="51"/>
      <c r="F3" s="51"/>
      <c r="G3" s="50"/>
      <c r="H3" s="51"/>
      <c r="I3" s="51"/>
      <c r="J3" s="51"/>
      <c r="K3" s="51"/>
      <c r="L3" s="51"/>
      <c r="M3" s="81"/>
      <c r="N3" s="27">
        <f>'1.Datos Básicos. Product-Serv'!$B$7</f>
        <v>0</v>
      </c>
      <c r="O3" s="41">
        <f>SUM(O11:O22)</f>
        <v>0</v>
      </c>
      <c r="P3" s="41">
        <f>SUM(P11:P22)</f>
        <v>0</v>
      </c>
      <c r="Q3" s="41">
        <f>SUM(Q11:Q22)</f>
        <v>0</v>
      </c>
      <c r="R3" s="44">
        <f>IF($I$6=1,$B$5-Q3,0)</f>
        <v>0</v>
      </c>
      <c r="S3" s="245">
        <v>0</v>
      </c>
      <c r="T3" s="245">
        <v>0</v>
      </c>
      <c r="U3" s="246">
        <f t="shared" ref="U3:U8" si="0">SUM(S3:T3)</f>
        <v>0</v>
      </c>
    </row>
    <row r="4" spans="1:21" ht="16.5" thickBot="1">
      <c r="A4" s="9"/>
      <c r="B4" s="51"/>
      <c r="C4" s="51"/>
      <c r="D4" s="51"/>
      <c r="E4" s="51"/>
      <c r="F4" s="51"/>
      <c r="G4" s="51"/>
      <c r="H4" s="51"/>
      <c r="I4" s="51"/>
      <c r="J4" s="51"/>
      <c r="K4" s="51"/>
      <c r="L4" s="51"/>
      <c r="M4" s="81"/>
      <c r="N4" s="28">
        <f>'1.Datos Básicos. Product-Serv'!$B$7+1</f>
        <v>1</v>
      </c>
      <c r="O4" s="43">
        <f>SUM(O23:O34)</f>
        <v>0</v>
      </c>
      <c r="P4" s="43">
        <f>SUM(P23:P34)</f>
        <v>0</v>
      </c>
      <c r="Q4" s="43">
        <f>SUM(Q23:Q34)</f>
        <v>0</v>
      </c>
      <c r="R4" s="44">
        <f>IF($I$6=1,$B$5-(Q3+Q4),IF($I$6=2,$B$5-Q4,0))</f>
        <v>0</v>
      </c>
      <c r="S4" s="245">
        <f>IF($E$22=0,0,$E$22-$F$34)</f>
        <v>0</v>
      </c>
      <c r="T4" s="245">
        <f>$F$34</f>
        <v>0</v>
      </c>
      <c r="U4" s="246">
        <f t="shared" si="0"/>
        <v>0</v>
      </c>
    </row>
    <row r="5" spans="1:21" ht="17.25" thickTop="1" thickBot="1">
      <c r="A5" s="10" t="s">
        <v>71</v>
      </c>
      <c r="B5" s="111">
        <f>'(0) 3c. Cuadro Renting y L'!K17</f>
        <v>0</v>
      </c>
      <c r="C5" s="57"/>
      <c r="D5" s="51"/>
      <c r="E5" s="51"/>
      <c r="F5" s="51"/>
      <c r="G5" s="51"/>
      <c r="H5" s="51"/>
      <c r="I5" s="51"/>
      <c r="J5" s="51"/>
      <c r="K5" s="51"/>
      <c r="L5" s="51"/>
      <c r="M5" s="81"/>
      <c r="N5" s="28">
        <f>'1.Datos Básicos. Product-Serv'!$B$7+2</f>
        <v>2</v>
      </c>
      <c r="O5" s="43">
        <f>SUM(O35:O46)</f>
        <v>0</v>
      </c>
      <c r="P5" s="43">
        <f>SUM(P35:P46)</f>
        <v>0</v>
      </c>
      <c r="Q5" s="43">
        <f>SUM(Q35:Q46)</f>
        <v>0</v>
      </c>
      <c r="R5" s="44">
        <f>IF($I$6=1,$B$5-(Q3+Q4+Q5),IF($I$6=2,$B$5-(Q4+Q5),IF($I$6=3,$B$5-(Q5),0)))</f>
        <v>0</v>
      </c>
      <c r="S5" s="245">
        <f>IF($E$34=0,0,$E$34-$F$46)</f>
        <v>0</v>
      </c>
      <c r="T5" s="245">
        <f>$F$46</f>
        <v>0</v>
      </c>
      <c r="U5" s="246">
        <f t="shared" si="0"/>
        <v>0</v>
      </c>
    </row>
    <row r="6" spans="1:21" ht="16.5" thickBot="1">
      <c r="A6" s="11" t="s">
        <v>9</v>
      </c>
      <c r="B6" s="115">
        <f>'(0) 3c. Cuadro Renting y L'!K18</f>
        <v>0.05</v>
      </c>
      <c r="C6" s="57"/>
      <c r="D6" s="57"/>
      <c r="E6" s="58" t="s">
        <v>73</v>
      </c>
      <c r="F6" s="59"/>
      <c r="G6" s="60"/>
      <c r="H6" s="60"/>
      <c r="I6" s="110" t="str">
        <f>IF('(0) 3c. Cuadro Renting y L'!K17&gt;0,2,"")</f>
        <v/>
      </c>
      <c r="J6" s="61" t="s">
        <v>75</v>
      </c>
      <c r="K6" s="51"/>
      <c r="L6" s="51"/>
      <c r="M6" s="81"/>
      <c r="N6" s="28">
        <f>'1.Datos Básicos. Product-Serv'!$B$7+3</f>
        <v>3</v>
      </c>
      <c r="O6" s="43">
        <f>SUM(O47:O58)</f>
        <v>0</v>
      </c>
      <c r="P6" s="43">
        <f>SUM(P47:P58)</f>
        <v>0</v>
      </c>
      <c r="Q6" s="43">
        <f>SUM(Q47:Q58)</f>
        <v>0</v>
      </c>
      <c r="R6" s="44">
        <f>IF($I$6=1,$B$5-(Q3+Q4+Q5+Q6),IF($I$6=2,$B$5-(Q4+Q5+Q6),IF($I$6=3,$B$5-(Q5+Q6),IF($I$6=4,$B$5-Q6,0))))</f>
        <v>0</v>
      </c>
      <c r="S6" s="245">
        <f>IF($E$46=0,0,$E$46-$F$58)</f>
        <v>0</v>
      </c>
      <c r="T6" s="245">
        <f>$F$58</f>
        <v>0</v>
      </c>
      <c r="U6" s="246">
        <f t="shared" si="0"/>
        <v>0</v>
      </c>
    </row>
    <row r="7" spans="1:21" ht="16.5" thickBot="1">
      <c r="A7" s="11" t="s">
        <v>10</v>
      </c>
      <c r="B7" s="116">
        <f>'(0) 3c. Cuadro Renting y L'!K19</f>
        <v>4</v>
      </c>
      <c r="C7" s="57"/>
      <c r="D7" s="51"/>
      <c r="E7" s="51"/>
      <c r="F7" s="51"/>
      <c r="G7" s="51"/>
      <c r="H7" s="51"/>
      <c r="I7" s="51"/>
      <c r="J7" s="51"/>
      <c r="K7" s="51"/>
      <c r="L7" s="51"/>
      <c r="M7" s="81"/>
      <c r="N7" s="29">
        <f>'1.Datos Básicos. Product-Serv'!$B$7+4</f>
        <v>4</v>
      </c>
      <c r="O7" s="48">
        <f>SUM(O59:O70)</f>
        <v>0</v>
      </c>
      <c r="P7" s="48">
        <f>SUM(P59:P70)</f>
        <v>0</v>
      </c>
      <c r="Q7" s="48">
        <f>SUM(Q59:Q70)</f>
        <v>0</v>
      </c>
      <c r="R7" s="49">
        <f>IF($I$6=1,$B$5-(Q3+Q4+Q5+Q6+Q7),IF($I$6=2,$B$5-(Q4+Q5+Q6+Q7),IF($I$6=3,$B$5-(Q5+Q6+Q7),IF($I$6=4,$B$5-(Q6+Q7),IF($I$6=5,$B$5-Q7,0)))))</f>
        <v>0</v>
      </c>
      <c r="S7" s="245">
        <f>IF($E$58=0,0,$E$58-$F$70)</f>
        <v>0</v>
      </c>
      <c r="T7" s="245">
        <f>$F$70</f>
        <v>0</v>
      </c>
      <c r="U7" s="246">
        <f t="shared" si="0"/>
        <v>0</v>
      </c>
    </row>
    <row r="8" spans="1:21" ht="17.25" thickTop="1" thickBot="1">
      <c r="A8" s="16" t="s">
        <v>12</v>
      </c>
      <c r="B8" s="117">
        <f>'(0) 3c. Cuadro Renting y L'!K20</f>
        <v>12</v>
      </c>
      <c r="C8" s="57"/>
      <c r="D8" s="51"/>
      <c r="E8" s="51"/>
      <c r="F8" s="51"/>
      <c r="G8" s="51"/>
      <c r="H8" s="51"/>
      <c r="I8" s="51"/>
      <c r="J8" s="51"/>
      <c r="K8" s="51"/>
      <c r="L8" s="51"/>
      <c r="M8" s="81"/>
      <c r="N8" s="228">
        <f>'1.Datos Básicos. Product-Serv'!$B$7+5</f>
        <v>5</v>
      </c>
      <c r="O8" s="48">
        <f>SUM(O71:O82)</f>
        <v>0</v>
      </c>
      <c r="P8" s="48">
        <f>SUM(P71:P82)</f>
        <v>0</v>
      </c>
      <c r="Q8" s="48">
        <f>SUM(Q71:Q82)</f>
        <v>0</v>
      </c>
      <c r="R8" s="49">
        <f>IF($I$6=1,$B$5-(Q3+Q4+Q5+Q6+Q7+Q8),IF($I$6=2,$B$5-(Q4+Q5+Q6+Q7+Q8),IF($I$6=3,$B$5-(Q5+Q6+Q7+Q8),IF($I$6=4,$B$5-(Q6+Q7+Q8),IF($I$6=5,$B$5-(Q7+Q8),IF($I$6=6,$B$5-Q8,0))))))</f>
        <v>0</v>
      </c>
      <c r="S8" s="244"/>
      <c r="T8" s="244"/>
      <c r="U8" s="246">
        <f t="shared" si="0"/>
        <v>0</v>
      </c>
    </row>
    <row r="9" spans="1:21" ht="17.25" thickTop="1" thickBot="1">
      <c r="A9" s="9"/>
      <c r="B9" s="51"/>
      <c r="C9" s="51"/>
      <c r="D9" s="51"/>
      <c r="E9" s="51"/>
      <c r="F9" s="51"/>
      <c r="G9" s="51"/>
      <c r="H9" s="51"/>
      <c r="I9" s="51"/>
      <c r="J9" s="51"/>
      <c r="K9" s="51"/>
      <c r="L9" s="51"/>
      <c r="M9" s="81"/>
      <c r="N9" s="81"/>
      <c r="O9" s="51"/>
      <c r="P9" s="51"/>
      <c r="Q9" s="51"/>
      <c r="R9" s="51"/>
    </row>
    <row r="10" spans="1:21" ht="33" thickTop="1" thickBot="1">
      <c r="A10" s="17" t="s">
        <v>13</v>
      </c>
      <c r="B10" s="62" t="s">
        <v>14</v>
      </c>
      <c r="C10" s="62" t="s">
        <v>64</v>
      </c>
      <c r="D10" s="62" t="s">
        <v>65</v>
      </c>
      <c r="E10" s="63" t="s">
        <v>15</v>
      </c>
      <c r="F10" s="64"/>
      <c r="G10" s="51"/>
      <c r="H10" s="53" t="s">
        <v>42</v>
      </c>
      <c r="I10" s="62" t="s">
        <v>14</v>
      </c>
      <c r="J10" s="62" t="s">
        <v>66</v>
      </c>
      <c r="K10" s="63" t="s">
        <v>67</v>
      </c>
      <c r="L10" s="64"/>
      <c r="M10" s="84"/>
      <c r="N10" s="83" t="s">
        <v>42</v>
      </c>
      <c r="O10" s="54" t="s">
        <v>14</v>
      </c>
      <c r="P10" s="54" t="s">
        <v>66</v>
      </c>
      <c r="Q10" s="56" t="s">
        <v>67</v>
      </c>
      <c r="R10" s="51"/>
    </row>
    <row r="11" spans="1:21" ht="16.5" thickTop="1">
      <c r="A11" s="21">
        <v>1</v>
      </c>
      <c r="B11" s="43">
        <f t="shared" ref="B11:B70" si="1">IF(E10&gt;0,PMT($B$6/12,$B$7*$B$8,-$B$5,,1),0)</f>
        <v>0</v>
      </c>
      <c r="C11" s="232">
        <f>IF(E10&gt;0,B11-D11,0)+'(0) 3c. Cuadro Renting y L'!K21*0</f>
        <v>0</v>
      </c>
      <c r="D11" s="66">
        <f>B11</f>
        <v>0</v>
      </c>
      <c r="E11" s="67">
        <f>Capital-D11</f>
        <v>0</v>
      </c>
      <c r="F11" s="51"/>
      <c r="G11" s="4200">
        <f>IF($B$5=0,$N$3,IF(O3&gt;0,N3,IF(O4&gt;0,N4,IF(O5&gt;0,N5,IF(O6&gt;0,N6,N7)))))</f>
        <v>0</v>
      </c>
      <c r="H11" s="40" t="s">
        <v>17</v>
      </c>
      <c r="I11" s="41">
        <f>$B$11</f>
        <v>0</v>
      </c>
      <c r="J11" s="41">
        <f>C11</f>
        <v>0</v>
      </c>
      <c r="K11" s="68">
        <f>D11</f>
        <v>0</v>
      </c>
      <c r="L11" s="51"/>
      <c r="M11" s="4200">
        <f>'1.Datos Básicos. Product-Serv'!$B$7</f>
        <v>0</v>
      </c>
      <c r="N11" s="85" t="s">
        <v>17</v>
      </c>
      <c r="O11" s="41">
        <f>IF($I$6=1,I11,0)</f>
        <v>0</v>
      </c>
      <c r="P11" s="41">
        <f t="shared" ref="P11:Q22" si="2">IF($I$6=1,J11,0)</f>
        <v>0</v>
      </c>
      <c r="Q11" s="42">
        <f t="shared" si="2"/>
        <v>0</v>
      </c>
      <c r="R11" s="51"/>
    </row>
    <row r="12" spans="1:21" ht="15.75">
      <c r="A12" s="23">
        <v>2</v>
      </c>
      <c r="B12" s="43">
        <f t="shared" si="1"/>
        <v>0</v>
      </c>
      <c r="C12" s="65">
        <f t="shared" ref="C12:C70" si="3">IF(E11&gt;0,B12-D12,0)</f>
        <v>0</v>
      </c>
      <c r="D12" s="65">
        <f t="shared" ref="D12:D70" si="4">IF(E11&gt;0,B12-(E11*(Interes/12)),0)</f>
        <v>0</v>
      </c>
      <c r="E12" s="68">
        <f t="shared" ref="E12:E70" si="5">IF(E11&gt;0,IF((E11-D12)&gt;0.01,E11-D12,0),0)</f>
        <v>0</v>
      </c>
      <c r="F12" s="51"/>
      <c r="G12" s="4201"/>
      <c r="H12" s="40" t="s">
        <v>18</v>
      </c>
      <c r="I12" s="43">
        <f>IF($B$8=12,B12,0)</f>
        <v>0</v>
      </c>
      <c r="J12" s="43">
        <f>IF($B$8=12,C12,0)</f>
        <v>0</v>
      </c>
      <c r="K12" s="68">
        <f>IF($B$8=12,D12,0)</f>
        <v>0</v>
      </c>
      <c r="L12" s="51"/>
      <c r="M12" s="4201"/>
      <c r="N12" s="81" t="s">
        <v>18</v>
      </c>
      <c r="O12" s="43">
        <f t="shared" ref="O12:O22" si="6">IF($I$6=1,I12,0)</f>
        <v>0</v>
      </c>
      <c r="P12" s="43">
        <f t="shared" si="2"/>
        <v>0</v>
      </c>
      <c r="Q12" s="44">
        <f t="shared" si="2"/>
        <v>0</v>
      </c>
      <c r="R12" s="51"/>
    </row>
    <row r="13" spans="1:21" ht="15.75">
      <c r="A13" s="23">
        <v>3</v>
      </c>
      <c r="B13" s="43">
        <f t="shared" si="1"/>
        <v>0</v>
      </c>
      <c r="C13" s="65">
        <f t="shared" si="3"/>
        <v>0</v>
      </c>
      <c r="D13" s="65">
        <f t="shared" si="4"/>
        <v>0</v>
      </c>
      <c r="E13" s="68">
        <f t="shared" si="5"/>
        <v>0</v>
      </c>
      <c r="F13" s="51"/>
      <c r="G13" s="4201"/>
      <c r="H13" s="40" t="s">
        <v>19</v>
      </c>
      <c r="I13" s="43">
        <f>IF($B$8=12,B13,IF($B$8=6,B12,0))</f>
        <v>0</v>
      </c>
      <c r="J13" s="43">
        <f>IF($B$8=12,C13,IF($B$8=6,C12,0))</f>
        <v>0</v>
      </c>
      <c r="K13" s="68">
        <f>IF($B$8=12,D13,IF($B$8=6,D12,0))</f>
        <v>0</v>
      </c>
      <c r="L13" s="51"/>
      <c r="M13" s="4201"/>
      <c r="N13" s="81" t="s">
        <v>19</v>
      </c>
      <c r="O13" s="43">
        <f t="shared" si="6"/>
        <v>0</v>
      </c>
      <c r="P13" s="43">
        <f t="shared" si="2"/>
        <v>0</v>
      </c>
      <c r="Q13" s="44">
        <f t="shared" si="2"/>
        <v>0</v>
      </c>
      <c r="R13" s="51"/>
    </row>
    <row r="14" spans="1:21" ht="15.75">
      <c r="A14" s="23">
        <v>4</v>
      </c>
      <c r="B14" s="43">
        <f t="shared" si="1"/>
        <v>0</v>
      </c>
      <c r="C14" s="65">
        <f t="shared" si="3"/>
        <v>0</v>
      </c>
      <c r="D14" s="65">
        <f t="shared" si="4"/>
        <v>0</v>
      </c>
      <c r="E14" s="68">
        <f t="shared" si="5"/>
        <v>0</v>
      </c>
      <c r="F14" s="51"/>
      <c r="G14" s="4201"/>
      <c r="H14" s="40" t="s">
        <v>20</v>
      </c>
      <c r="I14" s="43">
        <f>IF($B$8=12,B14,IF($B$8=4,B12,IF($B$8=6,0,IF($B$8=3,0,0))))</f>
        <v>0</v>
      </c>
      <c r="J14" s="43">
        <f>IF($B$8=12,C14,IF($B$8=4,C12,IF($B$8=6,0,IF($B$8=3,0,0))))</f>
        <v>0</v>
      </c>
      <c r="K14" s="68">
        <f>IF($B$8=12,D14,IF($B$8=4,D12,IF($B$8=6,0,IF($B$8=3,0,0))))</f>
        <v>0</v>
      </c>
      <c r="L14" s="51"/>
      <c r="M14" s="4201"/>
      <c r="N14" s="81" t="s">
        <v>20</v>
      </c>
      <c r="O14" s="43">
        <f t="shared" si="6"/>
        <v>0</v>
      </c>
      <c r="P14" s="43">
        <f t="shared" si="2"/>
        <v>0</v>
      </c>
      <c r="Q14" s="44">
        <f t="shared" si="2"/>
        <v>0</v>
      </c>
      <c r="R14" s="51"/>
    </row>
    <row r="15" spans="1:21" ht="15.75">
      <c r="A15" s="23">
        <v>5</v>
      </c>
      <c r="B15" s="43">
        <f t="shared" si="1"/>
        <v>0</v>
      </c>
      <c r="C15" s="65">
        <f t="shared" si="3"/>
        <v>0</v>
      </c>
      <c r="D15" s="65">
        <f t="shared" si="4"/>
        <v>0</v>
      </c>
      <c r="E15" s="68">
        <f t="shared" si="5"/>
        <v>0</v>
      </c>
      <c r="F15" s="51"/>
      <c r="G15" s="4201"/>
      <c r="H15" s="40" t="s">
        <v>21</v>
      </c>
      <c r="I15" s="43">
        <f>IF($B$8=12,B15,IF($B$8=4,0,IF($B$8=6,B13,IF($B$8=3,B12,0))))</f>
        <v>0</v>
      </c>
      <c r="J15" s="43">
        <f>IF($B$8=12,C15,IF($B$8=4,0,IF($B$8=6,C13,IF($B$8=3,C12,0))))</f>
        <v>0</v>
      </c>
      <c r="K15" s="68">
        <f>IF($B$8=12,D15,IF($B$8=4,0,IF($B$8=6,D13,IF($B$8=3,D12,0))))</f>
        <v>0</v>
      </c>
      <c r="L15" s="51"/>
      <c r="M15" s="4201"/>
      <c r="N15" s="81" t="s">
        <v>21</v>
      </c>
      <c r="O15" s="43">
        <f t="shared" si="6"/>
        <v>0</v>
      </c>
      <c r="P15" s="43">
        <f t="shared" si="2"/>
        <v>0</v>
      </c>
      <c r="Q15" s="44">
        <f t="shared" si="2"/>
        <v>0</v>
      </c>
      <c r="R15" s="51"/>
    </row>
    <row r="16" spans="1:21" ht="15.75">
      <c r="A16" s="23">
        <v>6</v>
      </c>
      <c r="B16" s="43">
        <f t="shared" si="1"/>
        <v>0</v>
      </c>
      <c r="C16" s="65">
        <f t="shared" si="3"/>
        <v>0</v>
      </c>
      <c r="D16" s="65">
        <f t="shared" si="4"/>
        <v>0</v>
      </c>
      <c r="E16" s="68">
        <f t="shared" si="5"/>
        <v>0</v>
      </c>
      <c r="F16" s="51"/>
      <c r="G16" s="4201"/>
      <c r="H16" s="40" t="s">
        <v>22</v>
      </c>
      <c r="I16" s="43">
        <f>IF($B$8=12,B16,IF($B$8=4,0,IF($B$8=6,0,IF($B$8=3,0,0))))</f>
        <v>0</v>
      </c>
      <c r="J16" s="43">
        <f>IF($B$8=12,C16,IF($B$8=4,0,IF($B$8=6,0,IF($B$8=3,0,0))))</f>
        <v>0</v>
      </c>
      <c r="K16" s="68">
        <f>IF($B$8=12,D16,IF($B$8=4,0,IF($B$8=6,0,IF($B$8=3,0,0))))</f>
        <v>0</v>
      </c>
      <c r="L16" s="51"/>
      <c r="M16" s="4201"/>
      <c r="N16" s="81" t="s">
        <v>22</v>
      </c>
      <c r="O16" s="43">
        <f t="shared" si="6"/>
        <v>0</v>
      </c>
      <c r="P16" s="43">
        <f t="shared" si="2"/>
        <v>0</v>
      </c>
      <c r="Q16" s="44">
        <f t="shared" si="2"/>
        <v>0</v>
      </c>
      <c r="R16" s="51"/>
    </row>
    <row r="17" spans="1:18" ht="15.75">
      <c r="A17" s="23">
        <v>7</v>
      </c>
      <c r="B17" s="43">
        <f t="shared" si="1"/>
        <v>0</v>
      </c>
      <c r="C17" s="65">
        <f t="shared" si="3"/>
        <v>0</v>
      </c>
      <c r="D17" s="65">
        <f t="shared" si="4"/>
        <v>0</v>
      </c>
      <c r="E17" s="68">
        <f t="shared" si="5"/>
        <v>0</v>
      </c>
      <c r="F17" s="51"/>
      <c r="G17" s="4201"/>
      <c r="H17" s="40" t="s">
        <v>23</v>
      </c>
      <c r="I17" s="43">
        <f>IF($B$8=12,B17,IF($B$8=4,B13,IF($B$8=6,B14,IF($B$8=3,0,IF($B$8=2,B12,0)))))</f>
        <v>0</v>
      </c>
      <c r="J17" s="43">
        <f>IF($B$8=12,C17,IF($B$8=4,C13,IF($B$8=6,C14,IF($B$8=3,0,IF($B$8=2,C12,0)))))</f>
        <v>0</v>
      </c>
      <c r="K17" s="68">
        <f>IF($B$8=12,D17,IF($B$8=4,D13,IF($B$8=6,D14,IF($B$8=3,0,IF($B$8=2,D12,0)))))</f>
        <v>0</v>
      </c>
      <c r="L17" s="51"/>
      <c r="M17" s="4201"/>
      <c r="N17" s="81" t="s">
        <v>23</v>
      </c>
      <c r="O17" s="43">
        <f t="shared" si="6"/>
        <v>0</v>
      </c>
      <c r="P17" s="43">
        <f t="shared" si="2"/>
        <v>0</v>
      </c>
      <c r="Q17" s="44">
        <f t="shared" si="2"/>
        <v>0</v>
      </c>
      <c r="R17" s="51"/>
    </row>
    <row r="18" spans="1:18" ht="15.75">
      <c r="A18" s="23">
        <v>8</v>
      </c>
      <c r="B18" s="43">
        <f t="shared" si="1"/>
        <v>0</v>
      </c>
      <c r="C18" s="65">
        <f t="shared" si="3"/>
        <v>0</v>
      </c>
      <c r="D18" s="65">
        <f t="shared" si="4"/>
        <v>0</v>
      </c>
      <c r="E18" s="68">
        <f t="shared" si="5"/>
        <v>0</v>
      </c>
      <c r="F18" s="51"/>
      <c r="G18" s="4201"/>
      <c r="H18" s="40" t="s">
        <v>24</v>
      </c>
      <c r="I18" s="43">
        <f>IF($B$8=12,B18,IF($B$8=4,0,IF($B$8=6,0,IF($B$8=3,0,0))))</f>
        <v>0</v>
      </c>
      <c r="J18" s="43">
        <f>IF($B$8=12,C18,IF($B$8=4,0,IF($B$8=6,0,IF($B$8=3,0,0))))</f>
        <v>0</v>
      </c>
      <c r="K18" s="68">
        <f>IF($B$8=12,D18,IF($B$8=4,0,IF($B$8=6,0,IF($B$8=3,0,0))))</f>
        <v>0</v>
      </c>
      <c r="L18" s="51"/>
      <c r="M18" s="4201"/>
      <c r="N18" s="81" t="s">
        <v>24</v>
      </c>
      <c r="O18" s="43">
        <f t="shared" si="6"/>
        <v>0</v>
      </c>
      <c r="P18" s="43">
        <f t="shared" si="2"/>
        <v>0</v>
      </c>
      <c r="Q18" s="44">
        <f t="shared" si="2"/>
        <v>0</v>
      </c>
      <c r="R18" s="51"/>
    </row>
    <row r="19" spans="1:18" ht="15.75">
      <c r="A19" s="23">
        <v>9</v>
      </c>
      <c r="B19" s="43">
        <f t="shared" si="1"/>
        <v>0</v>
      </c>
      <c r="C19" s="65">
        <f t="shared" si="3"/>
        <v>0</v>
      </c>
      <c r="D19" s="65">
        <f t="shared" si="4"/>
        <v>0</v>
      </c>
      <c r="E19" s="68">
        <f t="shared" si="5"/>
        <v>0</v>
      </c>
      <c r="F19" s="51"/>
      <c r="G19" s="4201"/>
      <c r="H19" s="40" t="s">
        <v>25</v>
      </c>
      <c r="I19" s="43">
        <f>IF($B$8=12,B19,IF($B$8=4,0,IF($B$8=6,B15,IF($B$8=3,B13,0))))</f>
        <v>0</v>
      </c>
      <c r="J19" s="43">
        <f>IF($B$8=12,C19,IF($B$8=4,0,IF($B$8=6,C15,IF($B$8=3,C13,0))))</f>
        <v>0</v>
      </c>
      <c r="K19" s="68">
        <f>IF($B$8=12,D19,IF($B$8=4,0,IF($B$8=6,D15,IF($B$8=3,D13,0))))</f>
        <v>0</v>
      </c>
      <c r="L19" s="51"/>
      <c r="M19" s="4201"/>
      <c r="N19" s="81" t="s">
        <v>25</v>
      </c>
      <c r="O19" s="43">
        <f t="shared" si="6"/>
        <v>0</v>
      </c>
      <c r="P19" s="43">
        <f t="shared" si="2"/>
        <v>0</v>
      </c>
      <c r="Q19" s="44">
        <f t="shared" si="2"/>
        <v>0</v>
      </c>
      <c r="R19" s="51"/>
    </row>
    <row r="20" spans="1:18" ht="15.75">
      <c r="A20" s="23">
        <v>10</v>
      </c>
      <c r="B20" s="43">
        <f t="shared" si="1"/>
        <v>0</v>
      </c>
      <c r="C20" s="65">
        <f t="shared" si="3"/>
        <v>0</v>
      </c>
      <c r="D20" s="65">
        <f t="shared" si="4"/>
        <v>0</v>
      </c>
      <c r="E20" s="68">
        <f t="shared" si="5"/>
        <v>0</v>
      </c>
      <c r="F20" s="51"/>
      <c r="G20" s="4201"/>
      <c r="H20" s="40" t="s">
        <v>26</v>
      </c>
      <c r="I20" s="43">
        <f>IF($B$8=12,B20,IF($B$8=4,B14,IF($B$8=6,0,IF($B$8=3,0,0))))</f>
        <v>0</v>
      </c>
      <c r="J20" s="43">
        <f>IF($B$8=12,C20,IF($B$8=4,C14,IF($B$8=6,0,IF($B$8=3,0,0))))</f>
        <v>0</v>
      </c>
      <c r="K20" s="68">
        <f>IF($B$8=12,D20,IF($B$8=4,D14,IF($B$8=6,0,IF($B$8=3,0,0))))</f>
        <v>0</v>
      </c>
      <c r="L20" s="51"/>
      <c r="M20" s="4201"/>
      <c r="N20" s="81" t="s">
        <v>26</v>
      </c>
      <c r="O20" s="43">
        <f t="shared" si="6"/>
        <v>0</v>
      </c>
      <c r="P20" s="43">
        <f t="shared" si="2"/>
        <v>0</v>
      </c>
      <c r="Q20" s="44">
        <f t="shared" si="2"/>
        <v>0</v>
      </c>
      <c r="R20" s="51"/>
    </row>
    <row r="21" spans="1:18" ht="15.75">
      <c r="A21" s="23">
        <v>11</v>
      </c>
      <c r="B21" s="43">
        <f t="shared" si="1"/>
        <v>0</v>
      </c>
      <c r="C21" s="65">
        <f t="shared" si="3"/>
        <v>0</v>
      </c>
      <c r="D21" s="65">
        <f t="shared" si="4"/>
        <v>0</v>
      </c>
      <c r="E21" s="68">
        <f t="shared" si="5"/>
        <v>0</v>
      </c>
      <c r="F21" s="51"/>
      <c r="G21" s="4201"/>
      <c r="H21" s="40" t="s">
        <v>27</v>
      </c>
      <c r="I21" s="43">
        <f>IF($B$8=12,B21,IF($B$8=4,0,IF($B$8=6,B16,IF($B$8=3,0,0))))</f>
        <v>0</v>
      </c>
      <c r="J21" s="43">
        <f>IF($B$8=12,C21,IF($B$8=4,0,IF($B$8=6,C16,IF($B$8=3,0,0))))</f>
        <v>0</v>
      </c>
      <c r="K21" s="68">
        <f>IF($B$8=12,D21,IF($B$8=4,0,IF($B$8=6,D16,IF($B$8=3,0,0))))</f>
        <v>0</v>
      </c>
      <c r="L21" s="51"/>
      <c r="M21" s="4201"/>
      <c r="N21" s="81" t="s">
        <v>27</v>
      </c>
      <c r="O21" s="43">
        <f t="shared" si="6"/>
        <v>0</v>
      </c>
      <c r="P21" s="43">
        <f t="shared" si="2"/>
        <v>0</v>
      </c>
      <c r="Q21" s="44">
        <f t="shared" si="2"/>
        <v>0</v>
      </c>
      <c r="R21" s="51"/>
    </row>
    <row r="22" spans="1:18" ht="16.5" thickBot="1">
      <c r="A22" s="24">
        <v>12</v>
      </c>
      <c r="B22" s="70">
        <f t="shared" si="1"/>
        <v>0</v>
      </c>
      <c r="C22" s="71">
        <f t="shared" si="3"/>
        <v>0</v>
      </c>
      <c r="D22" s="71">
        <f t="shared" si="4"/>
        <v>0</v>
      </c>
      <c r="E22" s="68">
        <f t="shared" si="5"/>
        <v>0</v>
      </c>
      <c r="F22" s="243">
        <f>SUM(D11:D22)</f>
        <v>0</v>
      </c>
      <c r="G22" s="4202"/>
      <c r="H22" s="73" t="s">
        <v>28</v>
      </c>
      <c r="I22" s="70">
        <f>IF($B$8=12,B22,IF($B$8=4,0,IF($B$8=6,0,IF($B$8=3,0,0))))</f>
        <v>0</v>
      </c>
      <c r="J22" s="70">
        <f>IF($B$8=12,C22,IF($B$8=4,0,IF($B$8=6,0,IF($B$8=3,0,0))))</f>
        <v>0</v>
      </c>
      <c r="K22" s="72">
        <f>IF($B$8=12,D22,IF($B$8=4,0,IF($B$8=6,0,IF($B$8=3,0,0))))</f>
        <v>0</v>
      </c>
      <c r="L22" s="51"/>
      <c r="M22" s="4202"/>
      <c r="N22" s="86" t="s">
        <v>28</v>
      </c>
      <c r="O22" s="45">
        <f t="shared" si="6"/>
        <v>0</v>
      </c>
      <c r="P22" s="45">
        <f t="shared" si="2"/>
        <v>0</v>
      </c>
      <c r="Q22" s="46">
        <f t="shared" si="2"/>
        <v>0</v>
      </c>
      <c r="R22" s="51"/>
    </row>
    <row r="23" spans="1:18" ht="15.75">
      <c r="A23" s="23">
        <v>13</v>
      </c>
      <c r="B23" s="43">
        <f t="shared" si="1"/>
        <v>0</v>
      </c>
      <c r="C23" s="65">
        <f t="shared" si="3"/>
        <v>0</v>
      </c>
      <c r="D23" s="65">
        <f t="shared" si="4"/>
        <v>0</v>
      </c>
      <c r="E23" s="109">
        <f t="shared" si="5"/>
        <v>0</v>
      </c>
      <c r="F23" s="51"/>
      <c r="G23" s="4200">
        <f>G11+1</f>
        <v>1</v>
      </c>
      <c r="H23" s="40" t="s">
        <v>17</v>
      </c>
      <c r="I23" s="43">
        <f>IF($B$8=12,B23,IF($B$8=4,B15,IF($B$8=6,B17,IF($B$8=3,B14,IF($B$8=2,B13,IF($B$8,B12,0))))))</f>
        <v>0</v>
      </c>
      <c r="J23" s="43">
        <f>IF($B$8=12,C23,IF($B$8=4,C15,IF($B$8=6,C17,IF($B$8=3,C14,IF($B$8=2,C13,IF($B$8,C12,0))))))</f>
        <v>0</v>
      </c>
      <c r="K23" s="44">
        <f>IF($B$8=12,D23,IF($B$8=4,D15,IF($B$8=6,D17,IF($B$8=3,D14,IF($B$8=2,D13,IF($B$8,D12,0))))))</f>
        <v>0</v>
      </c>
      <c r="L23" s="51"/>
      <c r="M23" s="4200">
        <f>'1.Datos Básicos. Product-Serv'!$B$7+1</f>
        <v>1</v>
      </c>
      <c r="N23" s="81" t="s">
        <v>17</v>
      </c>
      <c r="O23" s="43">
        <f>IF($I$6=2,I11,IF($I$6=1,I23,0))</f>
        <v>0</v>
      </c>
      <c r="P23" s="43">
        <f t="shared" ref="P23:Q34" si="7">IF($I$6=2,J11,IF($I$6=1,J23,0))</f>
        <v>0</v>
      </c>
      <c r="Q23" s="44">
        <f t="shared" si="7"/>
        <v>0</v>
      </c>
      <c r="R23" s="51"/>
    </row>
    <row r="24" spans="1:18" ht="15.75">
      <c r="A24" s="23">
        <v>14</v>
      </c>
      <c r="B24" s="43">
        <f t="shared" si="1"/>
        <v>0</v>
      </c>
      <c r="C24" s="65">
        <f t="shared" si="3"/>
        <v>0</v>
      </c>
      <c r="D24" s="65">
        <f t="shared" si="4"/>
        <v>0</v>
      </c>
      <c r="E24" s="68">
        <f t="shared" si="5"/>
        <v>0</v>
      </c>
      <c r="F24" s="51"/>
      <c r="G24" s="4201"/>
      <c r="H24" s="40" t="s">
        <v>18</v>
      </c>
      <c r="I24" s="43">
        <f>IF($B$8=12,B24,0)</f>
        <v>0</v>
      </c>
      <c r="J24" s="43">
        <f>IF($B$8=12,C24,0)</f>
        <v>0</v>
      </c>
      <c r="K24" s="44">
        <f>IF($B$8=12,D24,0)</f>
        <v>0</v>
      </c>
      <c r="L24" s="51"/>
      <c r="M24" s="4201"/>
      <c r="N24" s="81" t="s">
        <v>18</v>
      </c>
      <c r="O24" s="43">
        <f t="shared" ref="O24:O34" si="8">IF($I$6=2,I12,IF($I$6=1,I24,0))</f>
        <v>0</v>
      </c>
      <c r="P24" s="43">
        <f t="shared" si="7"/>
        <v>0</v>
      </c>
      <c r="Q24" s="44">
        <f t="shared" si="7"/>
        <v>0</v>
      </c>
      <c r="R24" s="51"/>
    </row>
    <row r="25" spans="1:18" ht="15.75">
      <c r="A25" s="23">
        <v>15</v>
      </c>
      <c r="B25" s="43">
        <f t="shared" si="1"/>
        <v>0</v>
      </c>
      <c r="C25" s="65">
        <f t="shared" si="3"/>
        <v>0</v>
      </c>
      <c r="D25" s="65">
        <f t="shared" si="4"/>
        <v>0</v>
      </c>
      <c r="E25" s="68">
        <f t="shared" si="5"/>
        <v>0</v>
      </c>
      <c r="F25" s="51"/>
      <c r="G25" s="4201"/>
      <c r="H25" s="40" t="s">
        <v>19</v>
      </c>
      <c r="I25" s="43">
        <f>IF($B$8=12,B25,IF($B$8=6,B18,0))</f>
        <v>0</v>
      </c>
      <c r="J25" s="43">
        <f>IF($B$8=12,C25,IF($B$8=6,C18,0))</f>
        <v>0</v>
      </c>
      <c r="K25" s="44">
        <f>IF($B$8=12,D25,IF($B$8=6,D18,0))</f>
        <v>0</v>
      </c>
      <c r="L25" s="51"/>
      <c r="M25" s="4201"/>
      <c r="N25" s="81" t="s">
        <v>19</v>
      </c>
      <c r="O25" s="43">
        <f t="shared" si="8"/>
        <v>0</v>
      </c>
      <c r="P25" s="43">
        <f t="shared" si="7"/>
        <v>0</v>
      </c>
      <c r="Q25" s="44">
        <f t="shared" si="7"/>
        <v>0</v>
      </c>
      <c r="R25" s="51"/>
    </row>
    <row r="26" spans="1:18" ht="15.75">
      <c r="A26" s="23">
        <v>16</v>
      </c>
      <c r="B26" s="43">
        <f t="shared" si="1"/>
        <v>0</v>
      </c>
      <c r="C26" s="65">
        <f t="shared" si="3"/>
        <v>0</v>
      </c>
      <c r="D26" s="65">
        <f t="shared" si="4"/>
        <v>0</v>
      </c>
      <c r="E26" s="68">
        <f t="shared" si="5"/>
        <v>0</v>
      </c>
      <c r="F26" s="51"/>
      <c r="G26" s="4201"/>
      <c r="H26" s="40" t="s">
        <v>20</v>
      </c>
      <c r="I26" s="43">
        <f>IF($B$8=12,B26,IF($B$8=4,B16,IF($B$8=6,0,IF($B$8=3,0,0))))</f>
        <v>0</v>
      </c>
      <c r="J26" s="43">
        <f>IF($B$8=12,C26,IF($B$8=4,C16,IF($B$8=6,0,IF($B$8=3,0,0))))</f>
        <v>0</v>
      </c>
      <c r="K26" s="44">
        <f>IF($B$8=12,D26,IF($B$8=4,D16,IF($B$8=6,0,IF($B$8=3,0,0))))</f>
        <v>0</v>
      </c>
      <c r="L26" s="51"/>
      <c r="M26" s="4201"/>
      <c r="N26" s="81" t="s">
        <v>20</v>
      </c>
      <c r="O26" s="43">
        <f t="shared" si="8"/>
        <v>0</v>
      </c>
      <c r="P26" s="43">
        <f t="shared" si="7"/>
        <v>0</v>
      </c>
      <c r="Q26" s="44">
        <f t="shared" si="7"/>
        <v>0</v>
      </c>
      <c r="R26" s="51"/>
    </row>
    <row r="27" spans="1:18" ht="15.75">
      <c r="A27" s="23">
        <v>17</v>
      </c>
      <c r="B27" s="43">
        <f t="shared" si="1"/>
        <v>0</v>
      </c>
      <c r="C27" s="65">
        <f t="shared" si="3"/>
        <v>0</v>
      </c>
      <c r="D27" s="65">
        <f t="shared" si="4"/>
        <v>0</v>
      </c>
      <c r="E27" s="68">
        <f t="shared" si="5"/>
        <v>0</v>
      </c>
      <c r="F27" s="51"/>
      <c r="G27" s="4201"/>
      <c r="H27" s="40" t="s">
        <v>21</v>
      </c>
      <c r="I27" s="43">
        <f>IF($B$8=12,B27,IF($B$8=4,0,IF($B$8=6,B19,IF($B$8=3,B15,0))))</f>
        <v>0</v>
      </c>
      <c r="J27" s="43">
        <f>IF($B$8=12,C27,IF($B$8=4,0,IF($B$8=6,C19,IF($B$8=3,C15,0))))</f>
        <v>0</v>
      </c>
      <c r="K27" s="44">
        <f>IF($B$8=12,D27,IF($B$8=4,0,IF($B$8=6,D19,IF($B$8=3,D15,0))))</f>
        <v>0</v>
      </c>
      <c r="L27" s="51"/>
      <c r="M27" s="4201"/>
      <c r="N27" s="81" t="s">
        <v>21</v>
      </c>
      <c r="O27" s="43">
        <f t="shared" si="8"/>
        <v>0</v>
      </c>
      <c r="P27" s="43">
        <f t="shared" si="7"/>
        <v>0</v>
      </c>
      <c r="Q27" s="44">
        <f t="shared" si="7"/>
        <v>0</v>
      </c>
      <c r="R27" s="51"/>
    </row>
    <row r="28" spans="1:18" ht="15.75">
      <c r="A28" s="23">
        <v>18</v>
      </c>
      <c r="B28" s="43">
        <f t="shared" si="1"/>
        <v>0</v>
      </c>
      <c r="C28" s="65">
        <f t="shared" si="3"/>
        <v>0</v>
      </c>
      <c r="D28" s="65">
        <f t="shared" si="4"/>
        <v>0</v>
      </c>
      <c r="E28" s="68">
        <f t="shared" si="5"/>
        <v>0</v>
      </c>
      <c r="F28" s="51"/>
      <c r="G28" s="4201"/>
      <c r="H28" s="40" t="s">
        <v>22</v>
      </c>
      <c r="I28" s="43">
        <f>IF($B$8=12,B28,IF($B$8=4,0,IF($B$8=6,0,IF($B$8=3,0,0))))</f>
        <v>0</v>
      </c>
      <c r="J28" s="43">
        <f>IF($B$8=12,C28,IF($B$8=4,0,IF($B$8=6,0,IF($B$8=3,0,0))))</f>
        <v>0</v>
      </c>
      <c r="K28" s="44">
        <f>IF($B$8=12,D28,IF($B$8=4,0,IF($B$8=6,0,IF($B$8=3,0,0))))</f>
        <v>0</v>
      </c>
      <c r="L28" s="51"/>
      <c r="M28" s="4201"/>
      <c r="N28" s="81" t="s">
        <v>22</v>
      </c>
      <c r="O28" s="43">
        <f t="shared" si="8"/>
        <v>0</v>
      </c>
      <c r="P28" s="43">
        <f t="shared" si="7"/>
        <v>0</v>
      </c>
      <c r="Q28" s="44">
        <f t="shared" si="7"/>
        <v>0</v>
      </c>
      <c r="R28" s="51"/>
    </row>
    <row r="29" spans="1:18" ht="15.75">
      <c r="A29" s="23">
        <v>19</v>
      </c>
      <c r="B29" s="43">
        <f t="shared" si="1"/>
        <v>0</v>
      </c>
      <c r="C29" s="65">
        <f t="shared" si="3"/>
        <v>0</v>
      </c>
      <c r="D29" s="65">
        <f t="shared" si="4"/>
        <v>0</v>
      </c>
      <c r="E29" s="68">
        <f t="shared" si="5"/>
        <v>0</v>
      </c>
      <c r="F29" s="51"/>
      <c r="G29" s="4201"/>
      <c r="H29" s="40" t="s">
        <v>23</v>
      </c>
      <c r="I29" s="43">
        <f>IF($B$8=12,B29,IF($B$8=4,B17,IF($B$8=6,B20,IF($B$8=3,0,IF($B$8=2,B14,0)))))</f>
        <v>0</v>
      </c>
      <c r="J29" s="43">
        <f>IF($B$8=12,C29,IF($B$8=4,C17,IF($B$8=6,C20,IF($B$8=3,0,IF($B$8=2,C14,0)))))</f>
        <v>0</v>
      </c>
      <c r="K29" s="44">
        <f>IF($B$8=12,D29,IF($B$8=4,D17,IF($B$8=6,D20,IF($B$8=3,0,IF($B$8=2,D14,0)))))</f>
        <v>0</v>
      </c>
      <c r="L29" s="51"/>
      <c r="M29" s="4201"/>
      <c r="N29" s="81" t="s">
        <v>23</v>
      </c>
      <c r="O29" s="43">
        <f t="shared" si="8"/>
        <v>0</v>
      </c>
      <c r="P29" s="43">
        <f t="shared" si="7"/>
        <v>0</v>
      </c>
      <c r="Q29" s="44">
        <f t="shared" si="7"/>
        <v>0</v>
      </c>
      <c r="R29" s="51"/>
    </row>
    <row r="30" spans="1:18" ht="15.75">
      <c r="A30" s="23">
        <v>20</v>
      </c>
      <c r="B30" s="43">
        <f t="shared" si="1"/>
        <v>0</v>
      </c>
      <c r="C30" s="65">
        <f t="shared" si="3"/>
        <v>0</v>
      </c>
      <c r="D30" s="65">
        <f t="shared" si="4"/>
        <v>0</v>
      </c>
      <c r="E30" s="68">
        <f t="shared" si="5"/>
        <v>0</v>
      </c>
      <c r="F30" s="51"/>
      <c r="G30" s="4201"/>
      <c r="H30" s="40" t="s">
        <v>24</v>
      </c>
      <c r="I30" s="43">
        <f>IF($B$8=12,B30,IF($B$8=4,0,IF($B$8=6,0,IF($B$8=3,0,0))))</f>
        <v>0</v>
      </c>
      <c r="J30" s="43">
        <f>IF($B$8=12,C30,IF($B$8=4,0,IF($B$8=6,0,IF($B$8=3,0,0))))</f>
        <v>0</v>
      </c>
      <c r="K30" s="44">
        <f>IF($B$8=12,D30,IF($B$8=4,0,IF($B$8=6,0,IF($B$8=3,0,0))))</f>
        <v>0</v>
      </c>
      <c r="L30" s="51"/>
      <c r="M30" s="4201"/>
      <c r="N30" s="81" t="s">
        <v>24</v>
      </c>
      <c r="O30" s="43">
        <f t="shared" si="8"/>
        <v>0</v>
      </c>
      <c r="P30" s="43">
        <f t="shared" si="7"/>
        <v>0</v>
      </c>
      <c r="Q30" s="44">
        <f t="shared" si="7"/>
        <v>0</v>
      </c>
      <c r="R30" s="51"/>
    </row>
    <row r="31" spans="1:18" ht="15.75">
      <c r="A31" s="23">
        <v>21</v>
      </c>
      <c r="B31" s="43">
        <f t="shared" si="1"/>
        <v>0</v>
      </c>
      <c r="C31" s="65">
        <f t="shared" si="3"/>
        <v>0</v>
      </c>
      <c r="D31" s="65">
        <f t="shared" si="4"/>
        <v>0</v>
      </c>
      <c r="E31" s="68">
        <f t="shared" si="5"/>
        <v>0</v>
      </c>
      <c r="F31" s="51"/>
      <c r="G31" s="4201"/>
      <c r="H31" s="40" t="s">
        <v>25</v>
      </c>
      <c r="I31" s="43">
        <f>IF($B$8=12,B31,IF($B$8=4,0,IF($B$8=6,B21,IF($B$8=3,B16,0))))</f>
        <v>0</v>
      </c>
      <c r="J31" s="43">
        <f>IF($B$8=12,C31,IF($B$8=4,0,IF($B$8=6,C21,IF($B$8=3,C16,0))))</f>
        <v>0</v>
      </c>
      <c r="K31" s="44">
        <f>IF($B$8=12,D31,IF($B$8=4,0,IF($B$8=6,D21,IF($B$8=3,D16,0))))</f>
        <v>0</v>
      </c>
      <c r="L31" s="51"/>
      <c r="M31" s="4201"/>
      <c r="N31" s="81" t="s">
        <v>25</v>
      </c>
      <c r="O31" s="43">
        <f t="shared" si="8"/>
        <v>0</v>
      </c>
      <c r="P31" s="43">
        <f t="shared" si="7"/>
        <v>0</v>
      </c>
      <c r="Q31" s="44">
        <f t="shared" si="7"/>
        <v>0</v>
      </c>
      <c r="R31" s="51"/>
    </row>
    <row r="32" spans="1:18" ht="15.75">
      <c r="A32" s="23">
        <v>22</v>
      </c>
      <c r="B32" s="43">
        <f t="shared" si="1"/>
        <v>0</v>
      </c>
      <c r="C32" s="65">
        <f t="shared" si="3"/>
        <v>0</v>
      </c>
      <c r="D32" s="65">
        <f t="shared" si="4"/>
        <v>0</v>
      </c>
      <c r="E32" s="68">
        <f t="shared" si="5"/>
        <v>0</v>
      </c>
      <c r="F32" s="51"/>
      <c r="G32" s="4201"/>
      <c r="H32" s="40" t="s">
        <v>26</v>
      </c>
      <c r="I32" s="43">
        <f>IF($B$8=12,B32,IF($B$8=4,B18,IF($B$8=6,0,IF($B$8=3,0,0))))</f>
        <v>0</v>
      </c>
      <c r="J32" s="43">
        <f>IF($B$8=12,C32,IF($B$8=4,C18,IF($B$8=6,0,IF($B$8=3,0,0))))</f>
        <v>0</v>
      </c>
      <c r="K32" s="44">
        <f>IF($B$8=12,D32,IF($B$8=4,D18,IF($B$8=6,0,IF($B$8=3,0,0))))</f>
        <v>0</v>
      </c>
      <c r="L32" s="51"/>
      <c r="M32" s="4201"/>
      <c r="N32" s="81" t="s">
        <v>26</v>
      </c>
      <c r="O32" s="43">
        <f t="shared" si="8"/>
        <v>0</v>
      </c>
      <c r="P32" s="43">
        <f t="shared" si="7"/>
        <v>0</v>
      </c>
      <c r="Q32" s="44">
        <f t="shared" si="7"/>
        <v>0</v>
      </c>
      <c r="R32" s="51"/>
    </row>
    <row r="33" spans="1:18" ht="15.75">
      <c r="A33" s="23">
        <v>23</v>
      </c>
      <c r="B33" s="43">
        <f t="shared" si="1"/>
        <v>0</v>
      </c>
      <c r="C33" s="65">
        <f t="shared" si="3"/>
        <v>0</v>
      </c>
      <c r="D33" s="65">
        <f t="shared" si="4"/>
        <v>0</v>
      </c>
      <c r="E33" s="68">
        <f t="shared" si="5"/>
        <v>0</v>
      </c>
      <c r="F33" s="51"/>
      <c r="G33" s="4201"/>
      <c r="H33" s="40" t="s">
        <v>27</v>
      </c>
      <c r="I33" s="43">
        <f>IF($B$8=12,B33,IF($B$8=4,0,IF($B$8=6,B22,IF($B$8=3,0,0))))</f>
        <v>0</v>
      </c>
      <c r="J33" s="43">
        <f>IF($B$8=12,C33,IF($B$8=4,0,IF($B$8=6,C22,IF($B$8=3,0,0))))</f>
        <v>0</v>
      </c>
      <c r="K33" s="44">
        <f>IF($B$8=12,D33,IF($B$8=4,0,IF($B$8=6,D22,IF($B$8=3,0,0))))</f>
        <v>0</v>
      </c>
      <c r="L33" s="51"/>
      <c r="M33" s="4201"/>
      <c r="N33" s="81" t="s">
        <v>27</v>
      </c>
      <c r="O33" s="43">
        <f t="shared" si="8"/>
        <v>0</v>
      </c>
      <c r="P33" s="43">
        <f t="shared" si="7"/>
        <v>0</v>
      </c>
      <c r="Q33" s="44">
        <f t="shared" si="7"/>
        <v>0</v>
      </c>
      <c r="R33" s="51"/>
    </row>
    <row r="34" spans="1:18" ht="16.5" thickBot="1">
      <c r="A34" s="24">
        <v>24</v>
      </c>
      <c r="B34" s="70">
        <f t="shared" si="1"/>
        <v>0</v>
      </c>
      <c r="C34" s="71">
        <f t="shared" si="3"/>
        <v>0</v>
      </c>
      <c r="D34" s="71">
        <f t="shared" si="4"/>
        <v>0</v>
      </c>
      <c r="E34" s="68">
        <f t="shared" si="5"/>
        <v>0</v>
      </c>
      <c r="F34" s="243">
        <f>SUM(D23:D34)</f>
        <v>0</v>
      </c>
      <c r="G34" s="4202"/>
      <c r="H34" s="73" t="s">
        <v>28</v>
      </c>
      <c r="I34" s="70">
        <f>IF($B$8=12,B34,IF($B$8=4,0,IF($B$8=6,0,IF($B$8=3,0,0))))</f>
        <v>0</v>
      </c>
      <c r="J34" s="70">
        <f>IF($B$8=12,C34,IF($B$8=4,0,IF($B$8=6,0,IF($B$8=3,0,0))))</f>
        <v>0</v>
      </c>
      <c r="K34" s="75">
        <f>IF($B$8=12,D34,IF($B$8=4,0,IF($B$8=6,0,IF($B$8=3,0,0))))</f>
        <v>0</v>
      </c>
      <c r="L34" s="51"/>
      <c r="M34" s="4202"/>
      <c r="N34" s="86" t="s">
        <v>28</v>
      </c>
      <c r="O34" s="43">
        <f t="shared" si="8"/>
        <v>0</v>
      </c>
      <c r="P34" s="43">
        <f t="shared" si="7"/>
        <v>0</v>
      </c>
      <c r="Q34" s="46">
        <f t="shared" si="7"/>
        <v>0</v>
      </c>
      <c r="R34" s="51"/>
    </row>
    <row r="35" spans="1:18" ht="15.75">
      <c r="A35" s="23">
        <v>25</v>
      </c>
      <c r="B35" s="43">
        <f t="shared" si="1"/>
        <v>0</v>
      </c>
      <c r="C35" s="65">
        <f t="shared" si="3"/>
        <v>0</v>
      </c>
      <c r="D35" s="65">
        <f t="shared" si="4"/>
        <v>0</v>
      </c>
      <c r="E35" s="109">
        <f t="shared" si="5"/>
        <v>0</v>
      </c>
      <c r="F35" s="51"/>
      <c r="G35" s="4200">
        <f>G23+1</f>
        <v>2</v>
      </c>
      <c r="H35" s="40" t="s">
        <v>17</v>
      </c>
      <c r="I35" s="43">
        <f>IF($B$8=12,B35,IF($B$8=4,B19,IF($B$8=6,B23,IF($B$8=3,B17,IF($B$8=2,B15,IF($B$8=1,B13,0))))))</f>
        <v>0</v>
      </c>
      <c r="J35" s="43">
        <f>IF($B$8=12,C35,IF($B$8=4,C19,IF($B$8=6,C23,IF($B$8=3,C17,IF($B$8=2,C15,IF($B$8=1,C13,0))))))</f>
        <v>0</v>
      </c>
      <c r="K35" s="44">
        <f>IF($B$8=12,D35,IF($B$8=4,D19,IF($B$8=6,D23,IF($B$8=3,D17,IF($B$8=2,D15,IF($B$8=1,D13,0))))))</f>
        <v>0</v>
      </c>
      <c r="L35" s="51"/>
      <c r="M35" s="4200">
        <f>'1.Datos Básicos. Product-Serv'!$B$7+2</f>
        <v>2</v>
      </c>
      <c r="N35" s="81" t="s">
        <v>17</v>
      </c>
      <c r="O35" s="76">
        <f>IF($I$6=3,I11,IF($I$6=2,I23,IF($I$6=1,I35,0)))</f>
        <v>0</v>
      </c>
      <c r="P35" s="76">
        <f t="shared" ref="P35:Q46" si="9">IF($I$6=3,J11,IF($I$6=2,J23,IF($I$6=1,J35,0)))</f>
        <v>0</v>
      </c>
      <c r="Q35" s="77">
        <f t="shared" si="9"/>
        <v>0</v>
      </c>
      <c r="R35" s="51"/>
    </row>
    <row r="36" spans="1:18" ht="15.75">
      <c r="A36" s="23">
        <v>26</v>
      </c>
      <c r="B36" s="43">
        <f t="shared" si="1"/>
        <v>0</v>
      </c>
      <c r="C36" s="65">
        <f t="shared" si="3"/>
        <v>0</v>
      </c>
      <c r="D36" s="65">
        <f t="shared" si="4"/>
        <v>0</v>
      </c>
      <c r="E36" s="68">
        <f t="shared" si="5"/>
        <v>0</v>
      </c>
      <c r="F36" s="51"/>
      <c r="G36" s="4201"/>
      <c r="H36" s="40" t="s">
        <v>18</v>
      </c>
      <c r="I36" s="43">
        <f>IF($B$8=12,B36,0)</f>
        <v>0</v>
      </c>
      <c r="J36" s="43">
        <f>IF($B$8=12,C36,0)</f>
        <v>0</v>
      </c>
      <c r="K36" s="44">
        <f>IF($B$8=12,D36,0)</f>
        <v>0</v>
      </c>
      <c r="L36" s="51"/>
      <c r="M36" s="4201"/>
      <c r="N36" s="81" t="s">
        <v>18</v>
      </c>
      <c r="O36" s="43">
        <f t="shared" ref="O36:O46" si="10">IF($I$6=3,I12,IF($I$6=2,I24,IF($I$6=1,I36,0)))</f>
        <v>0</v>
      </c>
      <c r="P36" s="43">
        <f t="shared" si="9"/>
        <v>0</v>
      </c>
      <c r="Q36" s="44">
        <f t="shared" si="9"/>
        <v>0</v>
      </c>
      <c r="R36" s="51"/>
    </row>
    <row r="37" spans="1:18" ht="15.75">
      <c r="A37" s="23">
        <v>27</v>
      </c>
      <c r="B37" s="43">
        <f t="shared" si="1"/>
        <v>0</v>
      </c>
      <c r="C37" s="65">
        <f t="shared" si="3"/>
        <v>0</v>
      </c>
      <c r="D37" s="65">
        <f t="shared" si="4"/>
        <v>0</v>
      </c>
      <c r="E37" s="68">
        <f t="shared" si="5"/>
        <v>0</v>
      </c>
      <c r="F37" s="51"/>
      <c r="G37" s="4201"/>
      <c r="H37" s="40" t="s">
        <v>19</v>
      </c>
      <c r="I37" s="43">
        <f>IF($B$8=12,B37,IF($B$8=6,B24,0))</f>
        <v>0</v>
      </c>
      <c r="J37" s="43">
        <f>IF($B$8=12,C37,IF($B$8=6,C24,0))</f>
        <v>0</v>
      </c>
      <c r="K37" s="44">
        <f>IF($B$8=12,D37,IF($B$8=6,D24,0))</f>
        <v>0</v>
      </c>
      <c r="L37" s="51"/>
      <c r="M37" s="4201"/>
      <c r="N37" s="81" t="s">
        <v>19</v>
      </c>
      <c r="O37" s="43">
        <f t="shared" si="10"/>
        <v>0</v>
      </c>
      <c r="P37" s="43">
        <f t="shared" si="9"/>
        <v>0</v>
      </c>
      <c r="Q37" s="44">
        <f t="shared" si="9"/>
        <v>0</v>
      </c>
      <c r="R37" s="51"/>
    </row>
    <row r="38" spans="1:18" ht="15.75">
      <c r="A38" s="23">
        <v>28</v>
      </c>
      <c r="B38" s="43">
        <f t="shared" si="1"/>
        <v>0</v>
      </c>
      <c r="C38" s="65">
        <f t="shared" si="3"/>
        <v>0</v>
      </c>
      <c r="D38" s="65">
        <f t="shared" si="4"/>
        <v>0</v>
      </c>
      <c r="E38" s="68">
        <f t="shared" si="5"/>
        <v>0</v>
      </c>
      <c r="F38" s="51"/>
      <c r="G38" s="4201"/>
      <c r="H38" s="40" t="s">
        <v>20</v>
      </c>
      <c r="I38" s="43">
        <f>IF($B$8=12,B38,IF($B$8=4,B20,IF($B$8=6,0,IF($B$8=3,0,0))))</f>
        <v>0</v>
      </c>
      <c r="J38" s="43">
        <f>IF($B$8=12,C38,IF($B$8=4,C20,IF($B$8=6,0,IF($B$8=3,0,0))))</f>
        <v>0</v>
      </c>
      <c r="K38" s="44">
        <f>IF($B$8=12,D38,IF($B$8=4,D20,IF($B$8=6,0,IF($B$8=3,0,0))))</f>
        <v>0</v>
      </c>
      <c r="L38" s="51"/>
      <c r="M38" s="4201"/>
      <c r="N38" s="81" t="s">
        <v>20</v>
      </c>
      <c r="O38" s="43">
        <f t="shared" si="10"/>
        <v>0</v>
      </c>
      <c r="P38" s="43">
        <f t="shared" si="9"/>
        <v>0</v>
      </c>
      <c r="Q38" s="44">
        <f t="shared" si="9"/>
        <v>0</v>
      </c>
      <c r="R38" s="51"/>
    </row>
    <row r="39" spans="1:18" ht="15.75">
      <c r="A39" s="23">
        <v>29</v>
      </c>
      <c r="B39" s="43">
        <f t="shared" si="1"/>
        <v>0</v>
      </c>
      <c r="C39" s="65">
        <f t="shared" si="3"/>
        <v>0</v>
      </c>
      <c r="D39" s="65">
        <f t="shared" si="4"/>
        <v>0</v>
      </c>
      <c r="E39" s="68">
        <f t="shared" si="5"/>
        <v>0</v>
      </c>
      <c r="F39" s="51"/>
      <c r="G39" s="4201"/>
      <c r="H39" s="40" t="s">
        <v>21</v>
      </c>
      <c r="I39" s="43">
        <f>IF($B$8=12,B39,IF($B$8=4,0,IF($B$8=6,B25,IF($B$8=3,B18,0))))</f>
        <v>0</v>
      </c>
      <c r="J39" s="43">
        <f>IF($B$8=12,C39,IF($B$8=4,0,IF($B$8=6,C25,IF($B$8=3,C18,0))))</f>
        <v>0</v>
      </c>
      <c r="K39" s="44">
        <f>IF($B$8=12,D39,IF($B$8=4,0,IF($B$8=6,D25,IF($B$8=3,D18,0))))</f>
        <v>0</v>
      </c>
      <c r="L39" s="51"/>
      <c r="M39" s="4201"/>
      <c r="N39" s="81" t="s">
        <v>21</v>
      </c>
      <c r="O39" s="43">
        <f t="shared" si="10"/>
        <v>0</v>
      </c>
      <c r="P39" s="43">
        <f t="shared" si="9"/>
        <v>0</v>
      </c>
      <c r="Q39" s="44">
        <f t="shared" si="9"/>
        <v>0</v>
      </c>
      <c r="R39" s="51"/>
    </row>
    <row r="40" spans="1:18" ht="15.75">
      <c r="A40" s="23">
        <v>30</v>
      </c>
      <c r="B40" s="43">
        <f t="shared" si="1"/>
        <v>0</v>
      </c>
      <c r="C40" s="65">
        <f t="shared" si="3"/>
        <v>0</v>
      </c>
      <c r="D40" s="65">
        <f t="shared" si="4"/>
        <v>0</v>
      </c>
      <c r="E40" s="68">
        <f t="shared" si="5"/>
        <v>0</v>
      </c>
      <c r="F40" s="51"/>
      <c r="G40" s="4201"/>
      <c r="H40" s="40" t="s">
        <v>22</v>
      </c>
      <c r="I40" s="43">
        <f>IF($B$8=12,B40,IF($B$8=4,0,IF($B$8=6,0,IF($B$8=3,0,0))))</f>
        <v>0</v>
      </c>
      <c r="J40" s="43">
        <f>IF($B$8=12,C40,IF($B$8=4,0,IF($B$8=6,0,IF($B$8=3,0,0))))</f>
        <v>0</v>
      </c>
      <c r="K40" s="44">
        <f>IF($B$8=12,D40,IF($B$8=4,0,IF($B$8=6,0,IF($B$8=3,0,0))))</f>
        <v>0</v>
      </c>
      <c r="L40" s="51"/>
      <c r="M40" s="4201"/>
      <c r="N40" s="81" t="s">
        <v>22</v>
      </c>
      <c r="O40" s="43">
        <f t="shared" si="10"/>
        <v>0</v>
      </c>
      <c r="P40" s="43">
        <f t="shared" si="9"/>
        <v>0</v>
      </c>
      <c r="Q40" s="44">
        <f t="shared" si="9"/>
        <v>0</v>
      </c>
      <c r="R40" s="51"/>
    </row>
    <row r="41" spans="1:18" ht="15.75">
      <c r="A41" s="23">
        <v>31</v>
      </c>
      <c r="B41" s="43">
        <f t="shared" si="1"/>
        <v>0</v>
      </c>
      <c r="C41" s="65">
        <f t="shared" si="3"/>
        <v>0</v>
      </c>
      <c r="D41" s="65">
        <f t="shared" si="4"/>
        <v>0</v>
      </c>
      <c r="E41" s="68">
        <f t="shared" si="5"/>
        <v>0</v>
      </c>
      <c r="F41" s="51"/>
      <c r="G41" s="4201"/>
      <c r="H41" s="40" t="s">
        <v>23</v>
      </c>
      <c r="I41" s="43">
        <f>IF($B$8=12,B41,IF($B$8=4,B21,IF($B$8=6,B26,IF($B$8=3,0,IF($B$8=2,B16,0)))))</f>
        <v>0</v>
      </c>
      <c r="J41" s="43">
        <f>IF($B$8=12,C41,IF($B$8=4,C21,IF($B$8=6,C26,IF($B$8=3,0,IF($B$8=2,C16,0)))))</f>
        <v>0</v>
      </c>
      <c r="K41" s="44">
        <f>IF($B$8=12,D41,IF($B$8=4,D21,IF($B$8=6,D26,IF($B$8=3,0,IF($B$8=2,D16,0)))))</f>
        <v>0</v>
      </c>
      <c r="L41" s="51"/>
      <c r="M41" s="4201"/>
      <c r="N41" s="81" t="s">
        <v>23</v>
      </c>
      <c r="O41" s="43">
        <f t="shared" si="10"/>
        <v>0</v>
      </c>
      <c r="P41" s="43">
        <f t="shared" si="9"/>
        <v>0</v>
      </c>
      <c r="Q41" s="44">
        <f t="shared" si="9"/>
        <v>0</v>
      </c>
      <c r="R41" s="51"/>
    </row>
    <row r="42" spans="1:18" ht="15.75">
      <c r="A42" s="23">
        <v>32</v>
      </c>
      <c r="B42" s="43">
        <f t="shared" si="1"/>
        <v>0</v>
      </c>
      <c r="C42" s="65">
        <f t="shared" si="3"/>
        <v>0</v>
      </c>
      <c r="D42" s="65">
        <f t="shared" si="4"/>
        <v>0</v>
      </c>
      <c r="E42" s="68">
        <f t="shared" si="5"/>
        <v>0</v>
      </c>
      <c r="F42" s="51"/>
      <c r="G42" s="4201"/>
      <c r="H42" s="40" t="s">
        <v>24</v>
      </c>
      <c r="I42" s="43">
        <f>IF($B$8=12,B42,IF($B$8=4,0,IF($B$8=6,0,IF($B$8=3,0,0))))</f>
        <v>0</v>
      </c>
      <c r="J42" s="43">
        <f>IF($B$8=12,C42,IF($B$8=4,0,IF($B$8=6,0,IF($B$8=3,0,0))))</f>
        <v>0</v>
      </c>
      <c r="K42" s="44">
        <f>IF($B$8=12,D42,IF($B$8=4,0,IF($B$8=6,0,IF($B$8=3,0,0))))</f>
        <v>0</v>
      </c>
      <c r="L42" s="51"/>
      <c r="M42" s="4201"/>
      <c r="N42" s="81" t="s">
        <v>24</v>
      </c>
      <c r="O42" s="43">
        <f t="shared" si="10"/>
        <v>0</v>
      </c>
      <c r="P42" s="43">
        <f t="shared" si="9"/>
        <v>0</v>
      </c>
      <c r="Q42" s="44">
        <f t="shared" si="9"/>
        <v>0</v>
      </c>
      <c r="R42" s="51"/>
    </row>
    <row r="43" spans="1:18" ht="15.75">
      <c r="A43" s="23">
        <v>33</v>
      </c>
      <c r="B43" s="43">
        <f t="shared" si="1"/>
        <v>0</v>
      </c>
      <c r="C43" s="65">
        <f t="shared" si="3"/>
        <v>0</v>
      </c>
      <c r="D43" s="65">
        <f t="shared" si="4"/>
        <v>0</v>
      </c>
      <c r="E43" s="68">
        <f t="shared" si="5"/>
        <v>0</v>
      </c>
      <c r="F43" s="51"/>
      <c r="G43" s="4201"/>
      <c r="H43" s="40" t="s">
        <v>25</v>
      </c>
      <c r="I43" s="43">
        <f>IF($B$8=12,B43,IF($B$8=4,0,IF($B$8=6,B27,IF($B$8=3,B19,0))))</f>
        <v>0</v>
      </c>
      <c r="J43" s="43">
        <f>IF($B$8=12,C43,IF($B$8=4,0,IF($B$8=6,C27,IF($B$8=3,C19,0))))</f>
        <v>0</v>
      </c>
      <c r="K43" s="44">
        <f>IF($B$8=12,D43,IF($B$8=4,0,IF($B$8=6,D27,IF($B$8=3,D19,0))))</f>
        <v>0</v>
      </c>
      <c r="L43" s="51"/>
      <c r="M43" s="4201"/>
      <c r="N43" s="81" t="s">
        <v>25</v>
      </c>
      <c r="O43" s="43">
        <f t="shared" si="10"/>
        <v>0</v>
      </c>
      <c r="P43" s="43">
        <f t="shared" si="9"/>
        <v>0</v>
      </c>
      <c r="Q43" s="44">
        <f t="shared" si="9"/>
        <v>0</v>
      </c>
      <c r="R43" s="51"/>
    </row>
    <row r="44" spans="1:18" ht="15.75">
      <c r="A44" s="23">
        <v>34</v>
      </c>
      <c r="B44" s="43">
        <f t="shared" si="1"/>
        <v>0</v>
      </c>
      <c r="C44" s="65">
        <f t="shared" si="3"/>
        <v>0</v>
      </c>
      <c r="D44" s="65">
        <f t="shared" si="4"/>
        <v>0</v>
      </c>
      <c r="E44" s="68">
        <f t="shared" si="5"/>
        <v>0</v>
      </c>
      <c r="F44" s="51"/>
      <c r="G44" s="4201"/>
      <c r="H44" s="40" t="s">
        <v>26</v>
      </c>
      <c r="I44" s="43">
        <f>IF($B$8=12,B44,IF($B$8=4,B22,IF($B$8=6,0,IF($B$8=3,0,0))))</f>
        <v>0</v>
      </c>
      <c r="J44" s="43">
        <f>IF($B$8=12,C44,IF($B$8=4,C22,IF($B$8=6,0,IF($B$8=3,0,0))))</f>
        <v>0</v>
      </c>
      <c r="K44" s="44">
        <f>IF($B$8=12,D44,IF($B$8=4,D22,IF($B$8=6,0,IF($B$8=3,0,0))))</f>
        <v>0</v>
      </c>
      <c r="L44" s="51"/>
      <c r="M44" s="4201"/>
      <c r="N44" s="81" t="s">
        <v>26</v>
      </c>
      <c r="O44" s="43">
        <f t="shared" si="10"/>
        <v>0</v>
      </c>
      <c r="P44" s="43">
        <f t="shared" si="9"/>
        <v>0</v>
      </c>
      <c r="Q44" s="44">
        <f t="shared" si="9"/>
        <v>0</v>
      </c>
      <c r="R44" s="51"/>
    </row>
    <row r="45" spans="1:18" ht="15.75">
      <c r="A45" s="23">
        <v>35</v>
      </c>
      <c r="B45" s="43">
        <f t="shared" si="1"/>
        <v>0</v>
      </c>
      <c r="C45" s="65">
        <f t="shared" si="3"/>
        <v>0</v>
      </c>
      <c r="D45" s="65">
        <f t="shared" si="4"/>
        <v>0</v>
      </c>
      <c r="E45" s="68">
        <f t="shared" si="5"/>
        <v>0</v>
      </c>
      <c r="F45" s="51"/>
      <c r="G45" s="4201"/>
      <c r="H45" s="40" t="s">
        <v>27</v>
      </c>
      <c r="I45" s="43">
        <f>IF($B$8=12,B45,IF($B$8=4,0,IF($B$8=6,B28,IF($B$8=3,0,0))))</f>
        <v>0</v>
      </c>
      <c r="J45" s="43">
        <f>IF($B$8=12,C45,IF($B$8=4,0,IF($B$8=6,C28,IF($B$8=3,0,0))))</f>
        <v>0</v>
      </c>
      <c r="K45" s="44">
        <f>IF($B$8=12,D45,IF($B$8=4,0,IF($B$8=6,D28,IF($B$8=3,0,0))))</f>
        <v>0</v>
      </c>
      <c r="L45" s="51"/>
      <c r="M45" s="4201"/>
      <c r="N45" s="81" t="s">
        <v>27</v>
      </c>
      <c r="O45" s="43">
        <f t="shared" si="10"/>
        <v>0</v>
      </c>
      <c r="P45" s="43">
        <f t="shared" si="9"/>
        <v>0</v>
      </c>
      <c r="Q45" s="44">
        <f t="shared" si="9"/>
        <v>0</v>
      </c>
      <c r="R45" s="51"/>
    </row>
    <row r="46" spans="1:18" ht="16.5" thickBot="1">
      <c r="A46" s="24">
        <v>36</v>
      </c>
      <c r="B46" s="70">
        <f t="shared" si="1"/>
        <v>0</v>
      </c>
      <c r="C46" s="71">
        <f t="shared" si="3"/>
        <v>0</v>
      </c>
      <c r="D46" s="71">
        <f t="shared" si="4"/>
        <v>0</v>
      </c>
      <c r="E46" s="68">
        <f t="shared" si="5"/>
        <v>0</v>
      </c>
      <c r="F46" s="243">
        <f>SUM(D35:D46)</f>
        <v>0</v>
      </c>
      <c r="G46" s="4202"/>
      <c r="H46" s="73" t="s">
        <v>28</v>
      </c>
      <c r="I46" s="70">
        <f>IF($B$8=12,B46,IF($B$8=4,0,IF($B$8=6,0,IF($B$8=3,0,0))))</f>
        <v>0</v>
      </c>
      <c r="J46" s="70">
        <f>IF($B$8=12,C46,IF($B$8=4,0,IF($B$8=6,0,IF($B$8=3,0,0))))</f>
        <v>0</v>
      </c>
      <c r="K46" s="75">
        <f>IF($B$8=12,D46,IF($B$8=4,0,IF($B$8=6,0,IF($B$8=3,0,0))))</f>
        <v>0</v>
      </c>
      <c r="L46" s="51"/>
      <c r="M46" s="4202"/>
      <c r="N46" s="86" t="s">
        <v>28</v>
      </c>
      <c r="O46" s="45">
        <f t="shared" si="10"/>
        <v>0</v>
      </c>
      <c r="P46" s="45">
        <f t="shared" si="9"/>
        <v>0</v>
      </c>
      <c r="Q46" s="46">
        <f t="shared" si="9"/>
        <v>0</v>
      </c>
      <c r="R46" s="51"/>
    </row>
    <row r="47" spans="1:18" ht="15.75">
      <c r="A47" s="23">
        <v>37</v>
      </c>
      <c r="B47" s="43">
        <f t="shared" si="1"/>
        <v>0</v>
      </c>
      <c r="C47" s="65">
        <f t="shared" si="3"/>
        <v>0</v>
      </c>
      <c r="D47" s="65">
        <f t="shared" si="4"/>
        <v>0</v>
      </c>
      <c r="E47" s="109">
        <f t="shared" si="5"/>
        <v>0</v>
      </c>
      <c r="F47" s="51"/>
      <c r="G47" s="4200">
        <f>G35+1</f>
        <v>3</v>
      </c>
      <c r="H47" s="40" t="s">
        <v>17</v>
      </c>
      <c r="I47" s="43">
        <f>IF($B$8=12,B47,IF($B$8=4,B23,IF($B$8=6,B29,IF($B$8=3,B20,IF($B$8=2,B17,IF($B$8=1,B14,0))))))</f>
        <v>0</v>
      </c>
      <c r="J47" s="43">
        <f>IF($B$8=12,C47,IF($B$8=4,C23,IF($B$8=6,C29,IF($B$8=3,C20,IF($B$8=2,C17,IF($B$8=1,C14,0))))))</f>
        <v>0</v>
      </c>
      <c r="K47" s="44">
        <f>IF($B$8=12,D47,IF($B$8=4,D23,IF($B$8=6,D29,IF($B$8=3,D20,IF($B$8=2,D17,IF($B$8=1,D14,0))))))</f>
        <v>0</v>
      </c>
      <c r="L47" s="51"/>
      <c r="M47" s="4200">
        <f>'1.Datos Básicos. Product-Serv'!$B$7+3</f>
        <v>3</v>
      </c>
      <c r="N47" s="81" t="s">
        <v>17</v>
      </c>
      <c r="O47" s="76">
        <f>IF($I$6=4,I11,IF($I$6=3,I23,IF($I$6=2,I35,IF($I$6=1,I47,0))))</f>
        <v>0</v>
      </c>
      <c r="P47" s="76">
        <f t="shared" ref="P47:Q58" si="11">IF($I$6=4,J11,IF($I$6=3,J23,IF($I$6=2,J35,IF($I$6=1,J47,0))))</f>
        <v>0</v>
      </c>
      <c r="Q47" s="77">
        <f t="shared" si="11"/>
        <v>0</v>
      </c>
      <c r="R47" s="51"/>
    </row>
    <row r="48" spans="1:18" ht="15.75">
      <c r="A48" s="23">
        <v>38</v>
      </c>
      <c r="B48" s="43">
        <f t="shared" si="1"/>
        <v>0</v>
      </c>
      <c r="C48" s="65">
        <f t="shared" si="3"/>
        <v>0</v>
      </c>
      <c r="D48" s="65">
        <f t="shared" si="4"/>
        <v>0</v>
      </c>
      <c r="E48" s="68">
        <f t="shared" si="5"/>
        <v>0</v>
      </c>
      <c r="F48" s="51"/>
      <c r="G48" s="4201"/>
      <c r="H48" s="40" t="s">
        <v>18</v>
      </c>
      <c r="I48" s="43">
        <f>IF($B$8=12,B48,0)</f>
        <v>0</v>
      </c>
      <c r="J48" s="43">
        <f>IF($B$8=12,C48,0)</f>
        <v>0</v>
      </c>
      <c r="K48" s="44">
        <f>IF($B$8=12,D48,0)</f>
        <v>0</v>
      </c>
      <c r="L48" s="51"/>
      <c r="M48" s="4201"/>
      <c r="N48" s="81" t="s">
        <v>18</v>
      </c>
      <c r="O48" s="43">
        <f t="shared" ref="O48:O58" si="12">IF($I$6=4,I12,IF($I$6=3,I24,IF($I$6=2,I36,IF($I$6=1,I48,0))))</f>
        <v>0</v>
      </c>
      <c r="P48" s="43">
        <f t="shared" si="11"/>
        <v>0</v>
      </c>
      <c r="Q48" s="44">
        <f t="shared" si="11"/>
        <v>0</v>
      </c>
      <c r="R48" s="51"/>
    </row>
    <row r="49" spans="1:18" ht="15.75">
      <c r="A49" s="23">
        <v>39</v>
      </c>
      <c r="B49" s="43">
        <f t="shared" si="1"/>
        <v>0</v>
      </c>
      <c r="C49" s="65">
        <f t="shared" si="3"/>
        <v>0</v>
      </c>
      <c r="D49" s="65">
        <f t="shared" si="4"/>
        <v>0</v>
      </c>
      <c r="E49" s="68">
        <f t="shared" si="5"/>
        <v>0</v>
      </c>
      <c r="F49" s="51"/>
      <c r="G49" s="4201"/>
      <c r="H49" s="40" t="s">
        <v>19</v>
      </c>
      <c r="I49" s="43">
        <f>IF($B$8=12,B49,IF($B$8=6,B30,0))</f>
        <v>0</v>
      </c>
      <c r="J49" s="43">
        <f>IF($B$8=12,C49,IF($B$8=6,C30,0))</f>
        <v>0</v>
      </c>
      <c r="K49" s="44">
        <f>IF($B$8=12,D49,IF($B$8=6,D30,0))</f>
        <v>0</v>
      </c>
      <c r="L49" s="51"/>
      <c r="M49" s="4201"/>
      <c r="N49" s="81" t="s">
        <v>19</v>
      </c>
      <c r="O49" s="43">
        <f t="shared" si="12"/>
        <v>0</v>
      </c>
      <c r="P49" s="43">
        <f t="shared" si="11"/>
        <v>0</v>
      </c>
      <c r="Q49" s="44">
        <f t="shared" si="11"/>
        <v>0</v>
      </c>
      <c r="R49" s="51"/>
    </row>
    <row r="50" spans="1:18" ht="15.75">
      <c r="A50" s="23">
        <v>40</v>
      </c>
      <c r="B50" s="43">
        <f t="shared" si="1"/>
        <v>0</v>
      </c>
      <c r="C50" s="65">
        <f t="shared" si="3"/>
        <v>0</v>
      </c>
      <c r="D50" s="65">
        <f t="shared" si="4"/>
        <v>0</v>
      </c>
      <c r="E50" s="68">
        <f t="shared" si="5"/>
        <v>0</v>
      </c>
      <c r="F50" s="51"/>
      <c r="G50" s="4201"/>
      <c r="H50" s="40" t="s">
        <v>20</v>
      </c>
      <c r="I50" s="43">
        <f>IF($B$8=12,B50,IF($B$8=4,B24,IF($B$8=6,0,IF($B$8=3,0,0))))</f>
        <v>0</v>
      </c>
      <c r="J50" s="43">
        <f>IF($B$8=12,C50,IF($B$8=4,C24,IF($B$8=6,0,IF($B$8=3,0,0))))</f>
        <v>0</v>
      </c>
      <c r="K50" s="44">
        <f>IF($B$8=12,D50,IF($B$8=4,D24,IF($B$8=6,0,IF($B$8=3,0,0))))</f>
        <v>0</v>
      </c>
      <c r="L50" s="51"/>
      <c r="M50" s="4201"/>
      <c r="N50" s="81" t="s">
        <v>20</v>
      </c>
      <c r="O50" s="43">
        <f t="shared" si="12"/>
        <v>0</v>
      </c>
      <c r="P50" s="43">
        <f t="shared" si="11"/>
        <v>0</v>
      </c>
      <c r="Q50" s="44">
        <f t="shared" si="11"/>
        <v>0</v>
      </c>
      <c r="R50" s="51"/>
    </row>
    <row r="51" spans="1:18" ht="15.75">
      <c r="A51" s="23">
        <v>41</v>
      </c>
      <c r="B51" s="43">
        <f t="shared" si="1"/>
        <v>0</v>
      </c>
      <c r="C51" s="65">
        <f t="shared" si="3"/>
        <v>0</v>
      </c>
      <c r="D51" s="65">
        <f t="shared" si="4"/>
        <v>0</v>
      </c>
      <c r="E51" s="68">
        <f t="shared" si="5"/>
        <v>0</v>
      </c>
      <c r="F51" s="51"/>
      <c r="G51" s="4201"/>
      <c r="H51" s="40" t="s">
        <v>21</v>
      </c>
      <c r="I51" s="43">
        <f>IF($B$8=12,B51,IF($B$8=4,0,IF($B$8=6,B31,IF($B$8=3,B21,0))))</f>
        <v>0</v>
      </c>
      <c r="J51" s="43">
        <f>IF($B$8=12,C51,IF($B$8=4,0,IF($B$8=6,C31,IF($B$8=3,C21,0))))</f>
        <v>0</v>
      </c>
      <c r="K51" s="44">
        <f>IF($B$8=12,D51,IF($B$8=4,0,IF($B$8=6,D31,IF($B$8=3,D21,0))))</f>
        <v>0</v>
      </c>
      <c r="L51" s="51"/>
      <c r="M51" s="4201"/>
      <c r="N51" s="81" t="s">
        <v>21</v>
      </c>
      <c r="O51" s="43">
        <f t="shared" si="12"/>
        <v>0</v>
      </c>
      <c r="P51" s="43">
        <f t="shared" si="11"/>
        <v>0</v>
      </c>
      <c r="Q51" s="44">
        <f t="shared" si="11"/>
        <v>0</v>
      </c>
      <c r="R51" s="51"/>
    </row>
    <row r="52" spans="1:18" ht="15.75">
      <c r="A52" s="23">
        <v>42</v>
      </c>
      <c r="B52" s="43">
        <f t="shared" si="1"/>
        <v>0</v>
      </c>
      <c r="C52" s="65">
        <f t="shared" si="3"/>
        <v>0</v>
      </c>
      <c r="D52" s="65">
        <f t="shared" si="4"/>
        <v>0</v>
      </c>
      <c r="E52" s="68">
        <f t="shared" si="5"/>
        <v>0</v>
      </c>
      <c r="F52" s="51"/>
      <c r="G52" s="4201"/>
      <c r="H52" s="40" t="s">
        <v>22</v>
      </c>
      <c r="I52" s="43">
        <f>IF($B$8=12,B52,IF($B$8=4,0,IF($B$8=6,0,IF($B$8=3,0,0))))</f>
        <v>0</v>
      </c>
      <c r="J52" s="43">
        <f>IF($B$8=12,C52,IF($B$8=4,0,IF($B$8=6,0,IF($B$8=3,0,0))))</f>
        <v>0</v>
      </c>
      <c r="K52" s="44">
        <f>IF($B$8=12,D52,IF($B$8=4,0,IF($B$8=6,0,IF($B$8=3,0,0))))</f>
        <v>0</v>
      </c>
      <c r="L52" s="51"/>
      <c r="M52" s="4201"/>
      <c r="N52" s="81" t="s">
        <v>22</v>
      </c>
      <c r="O52" s="43">
        <f t="shared" si="12"/>
        <v>0</v>
      </c>
      <c r="P52" s="43">
        <f t="shared" si="11"/>
        <v>0</v>
      </c>
      <c r="Q52" s="44">
        <f t="shared" si="11"/>
        <v>0</v>
      </c>
      <c r="R52" s="51"/>
    </row>
    <row r="53" spans="1:18" ht="15.75">
      <c r="A53" s="23">
        <v>43</v>
      </c>
      <c r="B53" s="43">
        <f t="shared" si="1"/>
        <v>0</v>
      </c>
      <c r="C53" s="65">
        <f t="shared" si="3"/>
        <v>0</v>
      </c>
      <c r="D53" s="65">
        <f t="shared" si="4"/>
        <v>0</v>
      </c>
      <c r="E53" s="68">
        <f t="shared" si="5"/>
        <v>0</v>
      </c>
      <c r="F53" s="51"/>
      <c r="G53" s="4201"/>
      <c r="H53" s="40" t="s">
        <v>23</v>
      </c>
      <c r="I53" s="43">
        <f>IF($B$8=12,B53,IF($B$8=4,B25,IF($B$8=6,B32,IF($B$8=3,0,IF($B$8=2,B18,0)))))</f>
        <v>0</v>
      </c>
      <c r="J53" s="43">
        <f>IF($B$8=12,C53,IF($B$8=4,C25,IF($B$8=6,C32,IF($B$8=3,0,IF($B$8=2,C18,0)))))</f>
        <v>0</v>
      </c>
      <c r="K53" s="44">
        <f>IF($B$8=12,D53,IF($B$8=4,D25,IF($B$8=6,D32,IF($B$8=3,0,IF($B$8=2,D18,0)))))</f>
        <v>0</v>
      </c>
      <c r="L53" s="51"/>
      <c r="M53" s="4201"/>
      <c r="N53" s="81" t="s">
        <v>23</v>
      </c>
      <c r="O53" s="43">
        <f t="shared" si="12"/>
        <v>0</v>
      </c>
      <c r="P53" s="43">
        <f t="shared" si="11"/>
        <v>0</v>
      </c>
      <c r="Q53" s="44">
        <f t="shared" si="11"/>
        <v>0</v>
      </c>
      <c r="R53" s="51"/>
    </row>
    <row r="54" spans="1:18" ht="15.75">
      <c r="A54" s="23">
        <v>44</v>
      </c>
      <c r="B54" s="43">
        <f t="shared" si="1"/>
        <v>0</v>
      </c>
      <c r="C54" s="65">
        <f t="shared" si="3"/>
        <v>0</v>
      </c>
      <c r="D54" s="65">
        <f t="shared" si="4"/>
        <v>0</v>
      </c>
      <c r="E54" s="68">
        <f t="shared" si="5"/>
        <v>0</v>
      </c>
      <c r="F54" s="51"/>
      <c r="G54" s="4201"/>
      <c r="H54" s="40" t="s">
        <v>24</v>
      </c>
      <c r="I54" s="43">
        <f>IF($B$8=12,B54,IF($B$8=4,0,IF($B$8=6,0,IF($B$8=3,0,0))))</f>
        <v>0</v>
      </c>
      <c r="J54" s="43">
        <f>IF($B$8=12,C54,IF($B$8=4,0,IF($B$8=6,0,IF($B$8=3,0,0))))</f>
        <v>0</v>
      </c>
      <c r="K54" s="44">
        <f>IF($B$8=12,D54,IF($B$8=4,0,IF($B$8=6,0,IF($B$8=3,0,0))))</f>
        <v>0</v>
      </c>
      <c r="L54" s="51"/>
      <c r="M54" s="4201"/>
      <c r="N54" s="81" t="s">
        <v>24</v>
      </c>
      <c r="O54" s="43">
        <f t="shared" si="12"/>
        <v>0</v>
      </c>
      <c r="P54" s="43">
        <f t="shared" si="11"/>
        <v>0</v>
      </c>
      <c r="Q54" s="44">
        <f t="shared" si="11"/>
        <v>0</v>
      </c>
      <c r="R54" s="51"/>
    </row>
    <row r="55" spans="1:18" ht="15.75">
      <c r="A55" s="23">
        <v>45</v>
      </c>
      <c r="B55" s="43">
        <f t="shared" si="1"/>
        <v>0</v>
      </c>
      <c r="C55" s="65">
        <f t="shared" si="3"/>
        <v>0</v>
      </c>
      <c r="D55" s="65">
        <f t="shared" si="4"/>
        <v>0</v>
      </c>
      <c r="E55" s="68">
        <f t="shared" si="5"/>
        <v>0</v>
      </c>
      <c r="F55" s="51"/>
      <c r="G55" s="4201"/>
      <c r="H55" s="40" t="s">
        <v>25</v>
      </c>
      <c r="I55" s="43">
        <f>IF($B$8=12,B55,IF($B$8=4,0,IF($B$8=6,B33,IF($B$8=3,B22,0))))</f>
        <v>0</v>
      </c>
      <c r="J55" s="43">
        <f>IF($B$8=12,C55,IF($B$8=4,0,IF($B$8=6,C33,IF($B$8=3,C22,0))))</f>
        <v>0</v>
      </c>
      <c r="K55" s="44">
        <f>IF($B$8=12,D55,IF($B$8=4,0,IF($B$8=6,D33,IF($B$8=3,D22,0))))</f>
        <v>0</v>
      </c>
      <c r="L55" s="51"/>
      <c r="M55" s="4201"/>
      <c r="N55" s="81" t="s">
        <v>25</v>
      </c>
      <c r="O55" s="43">
        <f t="shared" si="12"/>
        <v>0</v>
      </c>
      <c r="P55" s="43">
        <f t="shared" si="11"/>
        <v>0</v>
      </c>
      <c r="Q55" s="44">
        <f t="shared" si="11"/>
        <v>0</v>
      </c>
      <c r="R55" s="51"/>
    </row>
    <row r="56" spans="1:18" ht="15.75">
      <c r="A56" s="23">
        <v>46</v>
      </c>
      <c r="B56" s="43">
        <f t="shared" si="1"/>
        <v>0</v>
      </c>
      <c r="C56" s="65">
        <f t="shared" si="3"/>
        <v>0</v>
      </c>
      <c r="D56" s="65">
        <f t="shared" si="4"/>
        <v>0</v>
      </c>
      <c r="E56" s="68">
        <f t="shared" si="5"/>
        <v>0</v>
      </c>
      <c r="F56" s="51"/>
      <c r="G56" s="4201"/>
      <c r="H56" s="40" t="s">
        <v>26</v>
      </c>
      <c r="I56" s="43">
        <f>IF($B$8=12,B56,IF($B$8=4,B26,IF($B$8=6,0,IF($B$8=3,0,0))))</f>
        <v>0</v>
      </c>
      <c r="J56" s="43">
        <f>IF($B$8=12,C56,IF($B$8=4,C26,IF($B$8=6,0,IF($B$8=3,0,0))))</f>
        <v>0</v>
      </c>
      <c r="K56" s="44">
        <f>IF($B$8=12,D56,IF($B$8=4,D26,IF($B$8=6,0,IF($B$8=3,0,0))))</f>
        <v>0</v>
      </c>
      <c r="L56" s="51"/>
      <c r="M56" s="4201"/>
      <c r="N56" s="81" t="s">
        <v>26</v>
      </c>
      <c r="O56" s="43">
        <f t="shared" si="12"/>
        <v>0</v>
      </c>
      <c r="P56" s="43">
        <f t="shared" si="11"/>
        <v>0</v>
      </c>
      <c r="Q56" s="44">
        <f t="shared" si="11"/>
        <v>0</v>
      </c>
      <c r="R56" s="51"/>
    </row>
    <row r="57" spans="1:18" ht="15.75">
      <c r="A57" s="23">
        <v>47</v>
      </c>
      <c r="B57" s="43">
        <f t="shared" si="1"/>
        <v>0</v>
      </c>
      <c r="C57" s="65">
        <f t="shared" si="3"/>
        <v>0</v>
      </c>
      <c r="D57" s="65">
        <f t="shared" si="4"/>
        <v>0</v>
      </c>
      <c r="E57" s="68">
        <f t="shared" si="5"/>
        <v>0</v>
      </c>
      <c r="F57" s="51"/>
      <c r="G57" s="4201"/>
      <c r="H57" s="40" t="s">
        <v>27</v>
      </c>
      <c r="I57" s="43">
        <f>IF($B$8=12,B57,IF($B$8=4,0,IF($B$8=6,B34,IF($B$8=3,0,0))))</f>
        <v>0</v>
      </c>
      <c r="J57" s="43">
        <f>IF($B$8=12,C57,IF($B$8=4,0,IF($B$8=6,C34,IF($B$8=3,0,0))))</f>
        <v>0</v>
      </c>
      <c r="K57" s="44">
        <f>IF($B$8=12,D57,IF($B$8=4,0,IF($B$8=6,D34,IF($B$8=3,0,0))))</f>
        <v>0</v>
      </c>
      <c r="L57" s="51"/>
      <c r="M57" s="4201"/>
      <c r="N57" s="81" t="s">
        <v>27</v>
      </c>
      <c r="O57" s="43">
        <f t="shared" si="12"/>
        <v>0</v>
      </c>
      <c r="P57" s="43">
        <f t="shared" si="11"/>
        <v>0</v>
      </c>
      <c r="Q57" s="44">
        <f t="shared" si="11"/>
        <v>0</v>
      </c>
      <c r="R57" s="51"/>
    </row>
    <row r="58" spans="1:18" ht="16.5" thickBot="1">
      <c r="A58" s="24">
        <v>48</v>
      </c>
      <c r="B58" s="70">
        <f t="shared" si="1"/>
        <v>0</v>
      </c>
      <c r="C58" s="71">
        <f t="shared" si="3"/>
        <v>0</v>
      </c>
      <c r="D58" s="71">
        <f t="shared" si="4"/>
        <v>0</v>
      </c>
      <c r="E58" s="68">
        <f t="shared" si="5"/>
        <v>0</v>
      </c>
      <c r="F58" s="243">
        <f>SUM(D47:D58)</f>
        <v>0</v>
      </c>
      <c r="G58" s="4202"/>
      <c r="H58" s="73" t="s">
        <v>28</v>
      </c>
      <c r="I58" s="70">
        <f>IF($B$8=12,B58,IF($B$8=4,0,IF($B$8=6,0,IF($B$8=3,0,0))))</f>
        <v>0</v>
      </c>
      <c r="J58" s="70">
        <f>IF($B$8=12,C58,IF($B$8=4,0,IF($B$8=6,0,IF($B$8=3,0,0))))</f>
        <v>0</v>
      </c>
      <c r="K58" s="75">
        <f>IF($B$8=12,D58,IF($B$8=4,0,IF($B$8=6,0,IF($B$8=3,0,0))))</f>
        <v>0</v>
      </c>
      <c r="L58" s="51"/>
      <c r="M58" s="4202"/>
      <c r="N58" s="86" t="s">
        <v>28</v>
      </c>
      <c r="O58" s="45">
        <f t="shared" si="12"/>
        <v>0</v>
      </c>
      <c r="P58" s="45">
        <f t="shared" si="11"/>
        <v>0</v>
      </c>
      <c r="Q58" s="46">
        <f t="shared" si="11"/>
        <v>0</v>
      </c>
      <c r="R58" s="51"/>
    </row>
    <row r="59" spans="1:18" ht="15.75">
      <c r="A59" s="23">
        <v>49</v>
      </c>
      <c r="B59" s="43">
        <f t="shared" si="1"/>
        <v>0</v>
      </c>
      <c r="C59" s="65">
        <f t="shared" si="3"/>
        <v>0</v>
      </c>
      <c r="D59" s="65">
        <f t="shared" si="4"/>
        <v>0</v>
      </c>
      <c r="E59" s="109">
        <f t="shared" si="5"/>
        <v>0</v>
      </c>
      <c r="F59" s="51"/>
      <c r="G59" s="4200">
        <f>G47+1</f>
        <v>4</v>
      </c>
      <c r="H59" s="40" t="s">
        <v>17</v>
      </c>
      <c r="I59" s="43">
        <f>IF($B$8=12,B59,IF($B$8=4,B27,IF($B$8=6,B35,IF($B$8=3,B23,IF($B$8=2,B19,IF($B$8=1,B15,0))))))</f>
        <v>0</v>
      </c>
      <c r="J59" s="43">
        <f>IF($B$8=12,C59,IF($B$8=4,C27,IF($B$8=6,C35,IF($B$8=3,C23,IF($B$8=2,C19,IF($B$8=1,C15,0))))))</f>
        <v>0</v>
      </c>
      <c r="K59" s="44">
        <f>IF($B$8=12,D59,IF($B$8=4,D27,IF($B$8=6,D35,IF($B$8=3,D23,IF($B$8=2,D19,IF($B$8=1,D15,0))))))</f>
        <v>0</v>
      </c>
      <c r="L59" s="51"/>
      <c r="M59" s="4200">
        <f>'1.Datos Básicos. Product-Serv'!$B$7+4</f>
        <v>4</v>
      </c>
      <c r="N59" s="81" t="s">
        <v>17</v>
      </c>
      <c r="O59" s="76">
        <f>IF($I$6=5,I11,IF($I$6=4,I23,IF($I$6=3,I35,IF($I$6=2,I47,IF($I$6=1,I59,0)))))</f>
        <v>0</v>
      </c>
      <c r="P59" s="76">
        <f t="shared" ref="P59:Q70" si="13">IF($I$6=5,J11,IF($I$6=4,J23,IF($I$6=3,J35,IF($I$6=2,J47,IF($I$6=1,J59,0)))))</f>
        <v>0</v>
      </c>
      <c r="Q59" s="77">
        <f t="shared" si="13"/>
        <v>0</v>
      </c>
      <c r="R59" s="51"/>
    </row>
    <row r="60" spans="1:18" ht="15.75">
      <c r="A60" s="23">
        <v>50</v>
      </c>
      <c r="B60" s="43">
        <f t="shared" si="1"/>
        <v>0</v>
      </c>
      <c r="C60" s="65">
        <f t="shared" si="3"/>
        <v>0</v>
      </c>
      <c r="D60" s="65">
        <f t="shared" si="4"/>
        <v>0</v>
      </c>
      <c r="E60" s="68">
        <f t="shared" si="5"/>
        <v>0</v>
      </c>
      <c r="F60" s="51"/>
      <c r="G60" s="4201"/>
      <c r="H60" s="40" t="s">
        <v>18</v>
      </c>
      <c r="I60" s="43">
        <f>IF($B$8=12,B60,0)</f>
        <v>0</v>
      </c>
      <c r="J60" s="43">
        <f>IF($B$8=12,C60,0)</f>
        <v>0</v>
      </c>
      <c r="K60" s="44">
        <f>IF($B$8=12,D60,0)</f>
        <v>0</v>
      </c>
      <c r="L60" s="51"/>
      <c r="M60" s="4201"/>
      <c r="N60" s="81" t="s">
        <v>18</v>
      </c>
      <c r="O60" s="43">
        <f t="shared" ref="O60:O70" si="14">IF($I$6=5,I12,IF($I$6=4,I24,IF($I$6=3,I36,IF($I$6=2,I48,IF($I$6=1,I60,0)))))</f>
        <v>0</v>
      </c>
      <c r="P60" s="43">
        <f t="shared" si="13"/>
        <v>0</v>
      </c>
      <c r="Q60" s="44">
        <f t="shared" si="13"/>
        <v>0</v>
      </c>
      <c r="R60" s="51"/>
    </row>
    <row r="61" spans="1:18" ht="15.75">
      <c r="A61" s="23">
        <v>51</v>
      </c>
      <c r="B61" s="43">
        <f t="shared" si="1"/>
        <v>0</v>
      </c>
      <c r="C61" s="65">
        <f t="shared" si="3"/>
        <v>0</v>
      </c>
      <c r="D61" s="65">
        <f t="shared" si="4"/>
        <v>0</v>
      </c>
      <c r="E61" s="68">
        <f t="shared" si="5"/>
        <v>0</v>
      </c>
      <c r="F61" s="51"/>
      <c r="G61" s="4201"/>
      <c r="H61" s="40" t="s">
        <v>19</v>
      </c>
      <c r="I61" s="43">
        <f>IF($B$8=12,B61,IF($B$8=6,B36,0))</f>
        <v>0</v>
      </c>
      <c r="J61" s="43">
        <f>IF($B$8=12,C61,IF($B$8=6,C36,0))</f>
        <v>0</v>
      </c>
      <c r="K61" s="44">
        <f>IF($B$8=12,D61,IF($B$8=6,D36,0))</f>
        <v>0</v>
      </c>
      <c r="L61" s="51"/>
      <c r="M61" s="4201"/>
      <c r="N61" s="81" t="s">
        <v>19</v>
      </c>
      <c r="O61" s="43">
        <f t="shared" si="14"/>
        <v>0</v>
      </c>
      <c r="P61" s="43">
        <f t="shared" si="13"/>
        <v>0</v>
      </c>
      <c r="Q61" s="44">
        <f t="shared" si="13"/>
        <v>0</v>
      </c>
      <c r="R61" s="51"/>
    </row>
    <row r="62" spans="1:18" ht="15.75">
      <c r="A62" s="23">
        <v>52</v>
      </c>
      <c r="B62" s="43">
        <f t="shared" si="1"/>
        <v>0</v>
      </c>
      <c r="C62" s="65">
        <f t="shared" si="3"/>
        <v>0</v>
      </c>
      <c r="D62" s="65">
        <f t="shared" si="4"/>
        <v>0</v>
      </c>
      <c r="E62" s="68">
        <f t="shared" si="5"/>
        <v>0</v>
      </c>
      <c r="F62" s="51"/>
      <c r="G62" s="4201"/>
      <c r="H62" s="40" t="s">
        <v>20</v>
      </c>
      <c r="I62" s="43">
        <f>IF($B$8=12,B62,IF($B$8=4,B28,IF($B$8=6,0,IF($B$8=3,0,0))))</f>
        <v>0</v>
      </c>
      <c r="J62" s="43">
        <f>IF($B$8=12,C62,IF($B$8=4,C28,IF($B$8=6,0,IF($B$8=3,0,0))))</f>
        <v>0</v>
      </c>
      <c r="K62" s="44">
        <f>IF($B$8=12,D62,IF($B$8=4,D28,IF($B$8=6,0,IF($B$8=3,0,0))))</f>
        <v>0</v>
      </c>
      <c r="L62" s="51"/>
      <c r="M62" s="4201"/>
      <c r="N62" s="81" t="s">
        <v>20</v>
      </c>
      <c r="O62" s="43">
        <f t="shared" si="14"/>
        <v>0</v>
      </c>
      <c r="P62" s="43">
        <f t="shared" si="13"/>
        <v>0</v>
      </c>
      <c r="Q62" s="44">
        <f t="shared" si="13"/>
        <v>0</v>
      </c>
      <c r="R62" s="51"/>
    </row>
    <row r="63" spans="1:18" ht="15.75">
      <c r="A63" s="23">
        <v>53</v>
      </c>
      <c r="B63" s="43">
        <f t="shared" si="1"/>
        <v>0</v>
      </c>
      <c r="C63" s="65">
        <f t="shared" si="3"/>
        <v>0</v>
      </c>
      <c r="D63" s="65">
        <f t="shared" si="4"/>
        <v>0</v>
      </c>
      <c r="E63" s="68">
        <f t="shared" si="5"/>
        <v>0</v>
      </c>
      <c r="F63" s="51"/>
      <c r="G63" s="4201"/>
      <c r="H63" s="40" t="s">
        <v>21</v>
      </c>
      <c r="I63" s="43">
        <f>IF($B$8=12,B63,IF($B$8=4,0,IF($B$8=6,B37,IF($B$8=3,B24,0))))</f>
        <v>0</v>
      </c>
      <c r="J63" s="43">
        <f>IF($B$8=12,C63,IF($B$8=4,0,IF($B$8=6,C37,IF($B$8=3,C24,0))))</f>
        <v>0</v>
      </c>
      <c r="K63" s="44">
        <f>IF($B$8=12,D63,IF($B$8=4,0,IF($B$8=6,D37,IF($B$8=3,D24,0))))</f>
        <v>0</v>
      </c>
      <c r="L63" s="51"/>
      <c r="M63" s="4201"/>
      <c r="N63" s="81" t="s">
        <v>21</v>
      </c>
      <c r="O63" s="43">
        <f t="shared" si="14"/>
        <v>0</v>
      </c>
      <c r="P63" s="43">
        <f t="shared" si="13"/>
        <v>0</v>
      </c>
      <c r="Q63" s="44">
        <f t="shared" si="13"/>
        <v>0</v>
      </c>
      <c r="R63" s="51"/>
    </row>
    <row r="64" spans="1:18" ht="15.75">
      <c r="A64" s="23">
        <v>54</v>
      </c>
      <c r="B64" s="43">
        <f t="shared" si="1"/>
        <v>0</v>
      </c>
      <c r="C64" s="65">
        <f t="shared" si="3"/>
        <v>0</v>
      </c>
      <c r="D64" s="65">
        <f t="shared" si="4"/>
        <v>0</v>
      </c>
      <c r="E64" s="68">
        <f t="shared" si="5"/>
        <v>0</v>
      </c>
      <c r="F64" s="51"/>
      <c r="G64" s="4201"/>
      <c r="H64" s="40" t="s">
        <v>22</v>
      </c>
      <c r="I64" s="43">
        <f>IF($B$8=12,B64,IF($B$8=4,0,IF($B$8=6,0,IF($B$8=3,0,0))))</f>
        <v>0</v>
      </c>
      <c r="J64" s="43">
        <f>IF($B$8=12,C64,IF($B$8=4,0,IF($B$8=6,0,IF($B$8=3,0,0))))</f>
        <v>0</v>
      </c>
      <c r="K64" s="44">
        <f>IF($B$8=12,D64,IF($B$8=4,0,IF($B$8=6,0,IF($B$8=3,0,0))))</f>
        <v>0</v>
      </c>
      <c r="L64" s="51"/>
      <c r="M64" s="4201"/>
      <c r="N64" s="81" t="s">
        <v>22</v>
      </c>
      <c r="O64" s="43">
        <f t="shared" si="14"/>
        <v>0</v>
      </c>
      <c r="P64" s="43">
        <f t="shared" si="13"/>
        <v>0</v>
      </c>
      <c r="Q64" s="44">
        <f t="shared" si="13"/>
        <v>0</v>
      </c>
      <c r="R64" s="51"/>
    </row>
    <row r="65" spans="1:18" ht="15.75">
      <c r="A65" s="23">
        <v>55</v>
      </c>
      <c r="B65" s="43">
        <f t="shared" si="1"/>
        <v>0</v>
      </c>
      <c r="C65" s="65">
        <f t="shared" si="3"/>
        <v>0</v>
      </c>
      <c r="D65" s="65">
        <f t="shared" si="4"/>
        <v>0</v>
      </c>
      <c r="E65" s="68">
        <f t="shared" si="5"/>
        <v>0</v>
      </c>
      <c r="F65" s="51"/>
      <c r="G65" s="4201"/>
      <c r="H65" s="40" t="s">
        <v>23</v>
      </c>
      <c r="I65" s="43">
        <f>IF($B$8=12,B65,IF($B$8=4,B29,IF($B$8=6,B38,IF($B$8=3,0,IF($B$8=2,B20,0)))))</f>
        <v>0</v>
      </c>
      <c r="J65" s="43">
        <f>IF($B$8=12,C65,IF($B$8=4,C29,IF($B$8=6,C38,IF($B$8=3,0,IF($B$8=2,C20,0)))))</f>
        <v>0</v>
      </c>
      <c r="K65" s="44">
        <f>IF($B$8=12,D65,IF($B$8=4,D29,IF($B$8=6,D38,IF($B$8=3,0,IF($B$8=2,D20,0)))))</f>
        <v>0</v>
      </c>
      <c r="L65" s="51"/>
      <c r="M65" s="4201"/>
      <c r="N65" s="81" t="s">
        <v>23</v>
      </c>
      <c r="O65" s="43">
        <f t="shared" si="14"/>
        <v>0</v>
      </c>
      <c r="P65" s="43">
        <f t="shared" si="13"/>
        <v>0</v>
      </c>
      <c r="Q65" s="44">
        <f t="shared" si="13"/>
        <v>0</v>
      </c>
      <c r="R65" s="51"/>
    </row>
    <row r="66" spans="1:18" ht="15.75">
      <c r="A66" s="23">
        <v>56</v>
      </c>
      <c r="B66" s="43">
        <f t="shared" si="1"/>
        <v>0</v>
      </c>
      <c r="C66" s="65">
        <f t="shared" si="3"/>
        <v>0</v>
      </c>
      <c r="D66" s="65">
        <f t="shared" si="4"/>
        <v>0</v>
      </c>
      <c r="E66" s="68">
        <f t="shared" si="5"/>
        <v>0</v>
      </c>
      <c r="F66" s="51"/>
      <c r="G66" s="4201"/>
      <c r="H66" s="40" t="s">
        <v>24</v>
      </c>
      <c r="I66" s="43">
        <f>IF($B$8=12,B66,IF($B$8=4,0,IF($B$8=6,0,IF($B$8=3,0,0))))</f>
        <v>0</v>
      </c>
      <c r="J66" s="43">
        <f>IF($B$8=12,C66,IF($B$8=4,0,IF($B$8=6,0,IF($B$8=3,0,0))))</f>
        <v>0</v>
      </c>
      <c r="K66" s="44">
        <f>IF($B$8=12,D66,IF($B$8=4,0,IF($B$8=6,0,IF($B$8=3,0,0))))</f>
        <v>0</v>
      </c>
      <c r="L66" s="51"/>
      <c r="M66" s="4201"/>
      <c r="N66" s="81" t="s">
        <v>24</v>
      </c>
      <c r="O66" s="43">
        <f t="shared" si="14"/>
        <v>0</v>
      </c>
      <c r="P66" s="43">
        <f t="shared" si="13"/>
        <v>0</v>
      </c>
      <c r="Q66" s="44">
        <f t="shared" si="13"/>
        <v>0</v>
      </c>
      <c r="R66" s="51"/>
    </row>
    <row r="67" spans="1:18" ht="15.75">
      <c r="A67" s="23">
        <v>57</v>
      </c>
      <c r="B67" s="43">
        <f t="shared" si="1"/>
        <v>0</v>
      </c>
      <c r="C67" s="65">
        <f t="shared" si="3"/>
        <v>0</v>
      </c>
      <c r="D67" s="65">
        <f t="shared" si="4"/>
        <v>0</v>
      </c>
      <c r="E67" s="68">
        <f t="shared" si="5"/>
        <v>0</v>
      </c>
      <c r="F67" s="51"/>
      <c r="G67" s="4201"/>
      <c r="H67" s="40" t="s">
        <v>25</v>
      </c>
      <c r="I67" s="43">
        <f>IF($B$8=12,B67,IF($B$8=4,0,IF($B$8=6,B39,IF($B$8=3,B25,0))))</f>
        <v>0</v>
      </c>
      <c r="J67" s="43">
        <f>IF($B$8=12,C67,IF($B$8=4,0,IF($B$8=6,C39,IF($B$8=3,C25,0))))</f>
        <v>0</v>
      </c>
      <c r="K67" s="44">
        <f>IF($B$8=12,D67,IF($B$8=4,0,IF($B$8=6,D39,IF($B$8=3,D25,0))))</f>
        <v>0</v>
      </c>
      <c r="L67" s="51"/>
      <c r="M67" s="4201"/>
      <c r="N67" s="81" t="s">
        <v>25</v>
      </c>
      <c r="O67" s="43">
        <f t="shared" si="14"/>
        <v>0</v>
      </c>
      <c r="P67" s="43">
        <f t="shared" si="13"/>
        <v>0</v>
      </c>
      <c r="Q67" s="44">
        <f t="shared" si="13"/>
        <v>0</v>
      </c>
      <c r="R67" s="51"/>
    </row>
    <row r="68" spans="1:18" ht="15.75">
      <c r="A68" s="23">
        <v>58</v>
      </c>
      <c r="B68" s="43">
        <f t="shared" si="1"/>
        <v>0</v>
      </c>
      <c r="C68" s="65">
        <f t="shared" si="3"/>
        <v>0</v>
      </c>
      <c r="D68" s="65">
        <f t="shared" si="4"/>
        <v>0</v>
      </c>
      <c r="E68" s="68">
        <f t="shared" si="5"/>
        <v>0</v>
      </c>
      <c r="F68" s="51"/>
      <c r="G68" s="4201"/>
      <c r="H68" s="40" t="s">
        <v>26</v>
      </c>
      <c r="I68" s="43">
        <f>IF($B$8=12,B68,IF($B$8=4,B30,IF($B$8=6,0,IF($B$8=3,0,0))))</f>
        <v>0</v>
      </c>
      <c r="J68" s="43">
        <f>IF($B$8=12,C68,IF($B$8=4,C30,IF($B$8=6,0,IF($B$8=3,0,0))))</f>
        <v>0</v>
      </c>
      <c r="K68" s="44">
        <f>IF($B$8=12,D68,IF($B$8=4,D30,IF($B$8=6,0,IF($B$8=3,0,0))))</f>
        <v>0</v>
      </c>
      <c r="L68" s="51"/>
      <c r="M68" s="4201"/>
      <c r="N68" s="81" t="s">
        <v>26</v>
      </c>
      <c r="O68" s="43">
        <f t="shared" si="14"/>
        <v>0</v>
      </c>
      <c r="P68" s="43">
        <f t="shared" si="13"/>
        <v>0</v>
      </c>
      <c r="Q68" s="44">
        <f t="shared" si="13"/>
        <v>0</v>
      </c>
      <c r="R68" s="51"/>
    </row>
    <row r="69" spans="1:18" ht="15.75">
      <c r="A69" s="23">
        <v>59</v>
      </c>
      <c r="B69" s="43">
        <f t="shared" si="1"/>
        <v>0</v>
      </c>
      <c r="C69" s="65">
        <f t="shared" si="3"/>
        <v>0</v>
      </c>
      <c r="D69" s="65">
        <f t="shared" si="4"/>
        <v>0</v>
      </c>
      <c r="E69" s="68">
        <f t="shared" si="5"/>
        <v>0</v>
      </c>
      <c r="F69" s="51"/>
      <c r="G69" s="4201"/>
      <c r="H69" s="40" t="s">
        <v>27</v>
      </c>
      <c r="I69" s="43">
        <f>IF($B$8=12,B69,IF($B$8=4,0,IF($B$8=6,B40,IF($B$8=3,0,0))))</f>
        <v>0</v>
      </c>
      <c r="J69" s="43">
        <f>IF($B$8=12,C69,IF($B$8=4,0,IF($B$8=6,C40,IF($B$8=3,0,0))))</f>
        <v>0</v>
      </c>
      <c r="K69" s="44">
        <f>IF($B$8=12,D69,IF($B$8=4,0,IF($B$8=6,D40,IF($B$8=3,0,0))))</f>
        <v>0</v>
      </c>
      <c r="L69" s="51"/>
      <c r="M69" s="4201"/>
      <c r="N69" s="81" t="s">
        <v>27</v>
      </c>
      <c r="O69" s="43">
        <f t="shared" si="14"/>
        <v>0</v>
      </c>
      <c r="P69" s="43">
        <f t="shared" si="13"/>
        <v>0</v>
      </c>
      <c r="Q69" s="44">
        <f t="shared" si="13"/>
        <v>0</v>
      </c>
      <c r="R69" s="51"/>
    </row>
    <row r="70" spans="1:18" ht="16.5" thickBot="1">
      <c r="A70" s="26">
        <v>60</v>
      </c>
      <c r="B70" s="48">
        <f t="shared" si="1"/>
        <v>0</v>
      </c>
      <c r="C70" s="78">
        <f t="shared" si="3"/>
        <v>0</v>
      </c>
      <c r="D70" s="78">
        <f t="shared" si="4"/>
        <v>0</v>
      </c>
      <c r="E70" s="49">
        <f t="shared" si="5"/>
        <v>0</v>
      </c>
      <c r="F70" s="243">
        <f>SUM(D59:D70)</f>
        <v>0</v>
      </c>
      <c r="G70" s="4202"/>
      <c r="H70" s="47" t="s">
        <v>28</v>
      </c>
      <c r="I70" s="48">
        <f>IF($B$8=12,B70,IF($B$8=4,0,IF($B$8=6,0,IF($B$8=3,0,0))))</f>
        <v>0</v>
      </c>
      <c r="J70" s="48">
        <f>IF($B$8=12,C70,IF($B$8=4,0,IF($B$8=6,0,IF($B$8=3,0,0))))</f>
        <v>0</v>
      </c>
      <c r="K70" s="49">
        <f>IF($B$8=12,D70,IF($B$8=4,0,IF($B$8=6,0,IF($B$8=3,0,0))))</f>
        <v>0</v>
      </c>
      <c r="L70" s="51"/>
      <c r="M70" s="4202"/>
      <c r="N70" s="87" t="s">
        <v>28</v>
      </c>
      <c r="O70" s="48">
        <f t="shared" si="14"/>
        <v>0</v>
      </c>
      <c r="P70" s="48">
        <f t="shared" si="13"/>
        <v>0</v>
      </c>
      <c r="Q70" s="49">
        <f t="shared" si="13"/>
        <v>0</v>
      </c>
      <c r="R70" s="51"/>
    </row>
    <row r="71" spans="1:18" ht="16.5" thickTop="1">
      <c r="A71" s="23">
        <v>61</v>
      </c>
      <c r="B71" s="43">
        <f t="shared" ref="B71:B82" si="15">IF(E70&gt;0,PMT($B$6/12,$B$7*$B$8,-$B$5,,1),0)</f>
        <v>0</v>
      </c>
      <c r="C71" s="65">
        <f t="shared" ref="C71:C82" si="16">IF(E70&gt;0,B71-D71,0)</f>
        <v>0</v>
      </c>
      <c r="D71" s="65">
        <f t="shared" ref="D71:D82" si="17">IF(E70&gt;0,B71-(E70*(Interes/12)),0)</f>
        <v>0</v>
      </c>
      <c r="E71" s="44">
        <f t="shared" ref="E71:E82" si="18">IF(E70&gt;0,IF((E70-D71)&gt;0.01,E70-D71,0),0)</f>
        <v>0</v>
      </c>
      <c r="F71" s="51"/>
      <c r="G71" s="51"/>
      <c r="H71" s="226" t="s">
        <v>17</v>
      </c>
      <c r="I71" s="43">
        <f t="shared" ref="I71:I82" si="19">IF($B$8=12,B71,IF($B$8=4,0,IF($B$8=6,0,IF($B$8=3,0,0))))</f>
        <v>0</v>
      </c>
      <c r="J71" s="43">
        <f t="shared" ref="J71:J82" si="20">IF($B$8=12,C71,IF($B$8=4,0,IF($B$8=6,0,IF($B$8=3,0,0))))</f>
        <v>0</v>
      </c>
      <c r="K71" s="44">
        <f t="shared" ref="K71:K82" si="21">IF($B$8=12,D71,IF($B$8=4,0,IF($B$8=6,0,IF($B$8=3,0,0))))</f>
        <v>0</v>
      </c>
      <c r="L71" s="51"/>
      <c r="M71" s="81"/>
      <c r="N71" s="81" t="s">
        <v>17</v>
      </c>
      <c r="O71" s="43">
        <f t="shared" ref="O71:O82" si="22">IF($I$6=5,I23,IF($I$6=4,I35,IF($I$6=3,I47,IF($I$6=2,I59,IF($I$6=1,I71,0)))))</f>
        <v>0</v>
      </c>
      <c r="P71" s="43">
        <f t="shared" ref="P71:P82" si="23">IF($I$6=5,J23,IF($I$6=4,J35,IF($I$6=3,J47,IF($I$6=2,J59,IF($I$6=1,J71,0)))))</f>
        <v>0</v>
      </c>
      <c r="Q71" s="44">
        <f t="shared" ref="Q71:Q82" si="24">IF($I$6=5,K23,IF($I$6=4,K35,IF($I$6=3,K47,IF($I$6=2,K59,IF($I$6=1,K71,0)))))</f>
        <v>0</v>
      </c>
      <c r="R71" s="51"/>
    </row>
    <row r="72" spans="1:18" ht="15.75">
      <c r="A72" s="23">
        <v>62</v>
      </c>
      <c r="B72" s="43">
        <f t="shared" si="15"/>
        <v>0</v>
      </c>
      <c r="C72" s="65">
        <f t="shared" si="16"/>
        <v>0</v>
      </c>
      <c r="D72" s="65">
        <f t="shared" si="17"/>
        <v>0</v>
      </c>
      <c r="E72" s="44">
        <f t="shared" si="18"/>
        <v>0</v>
      </c>
      <c r="H72" s="226" t="s">
        <v>18</v>
      </c>
      <c r="I72" s="43">
        <f t="shared" si="19"/>
        <v>0</v>
      </c>
      <c r="J72" s="43">
        <f t="shared" si="20"/>
        <v>0</v>
      </c>
      <c r="K72" s="44">
        <f t="shared" si="21"/>
        <v>0</v>
      </c>
      <c r="L72" s="229"/>
      <c r="M72" s="229"/>
      <c r="N72" s="81" t="s">
        <v>18</v>
      </c>
      <c r="O72" s="43">
        <f t="shared" si="22"/>
        <v>0</v>
      </c>
      <c r="P72" s="43">
        <f t="shared" si="23"/>
        <v>0</v>
      </c>
      <c r="Q72" s="44">
        <f t="shared" si="24"/>
        <v>0</v>
      </c>
    </row>
    <row r="73" spans="1:18" ht="15.75">
      <c r="A73" s="23">
        <v>63</v>
      </c>
      <c r="B73" s="43">
        <f t="shared" si="15"/>
        <v>0</v>
      </c>
      <c r="C73" s="65">
        <f t="shared" si="16"/>
        <v>0</v>
      </c>
      <c r="D73" s="65">
        <f t="shared" si="17"/>
        <v>0</v>
      </c>
      <c r="E73" s="44">
        <f t="shared" si="18"/>
        <v>0</v>
      </c>
      <c r="H73" s="226" t="s">
        <v>19</v>
      </c>
      <c r="I73" s="43">
        <f t="shared" si="19"/>
        <v>0</v>
      </c>
      <c r="J73" s="43">
        <f t="shared" si="20"/>
        <v>0</v>
      </c>
      <c r="K73" s="44">
        <f t="shared" si="21"/>
        <v>0</v>
      </c>
      <c r="L73" s="229"/>
      <c r="M73" s="229"/>
      <c r="N73" s="81" t="s">
        <v>19</v>
      </c>
      <c r="O73" s="43">
        <f t="shared" si="22"/>
        <v>0</v>
      </c>
      <c r="P73" s="43">
        <f t="shared" si="23"/>
        <v>0</v>
      </c>
      <c r="Q73" s="44">
        <f t="shared" si="24"/>
        <v>0</v>
      </c>
    </row>
    <row r="74" spans="1:18" ht="15.75">
      <c r="A74" s="23">
        <v>64</v>
      </c>
      <c r="B74" s="43">
        <f t="shared" si="15"/>
        <v>0</v>
      </c>
      <c r="C74" s="65">
        <f t="shared" si="16"/>
        <v>0</v>
      </c>
      <c r="D74" s="65">
        <f t="shared" si="17"/>
        <v>0</v>
      </c>
      <c r="E74" s="44">
        <f t="shared" si="18"/>
        <v>0</v>
      </c>
      <c r="H74" s="226" t="s">
        <v>20</v>
      </c>
      <c r="I74" s="43">
        <f t="shared" si="19"/>
        <v>0</v>
      </c>
      <c r="J74" s="43">
        <f t="shared" si="20"/>
        <v>0</v>
      </c>
      <c r="K74" s="44">
        <f t="shared" si="21"/>
        <v>0</v>
      </c>
      <c r="L74" s="229"/>
      <c r="M74" s="229"/>
      <c r="N74" s="81" t="s">
        <v>20</v>
      </c>
      <c r="O74" s="43">
        <f t="shared" si="22"/>
        <v>0</v>
      </c>
      <c r="P74" s="43">
        <f t="shared" si="23"/>
        <v>0</v>
      </c>
      <c r="Q74" s="44">
        <f t="shared" si="24"/>
        <v>0</v>
      </c>
    </row>
    <row r="75" spans="1:18" ht="15.75">
      <c r="A75" s="23">
        <v>65</v>
      </c>
      <c r="B75" s="43">
        <f t="shared" si="15"/>
        <v>0</v>
      </c>
      <c r="C75" s="65">
        <f t="shared" si="16"/>
        <v>0</v>
      </c>
      <c r="D75" s="65">
        <f t="shared" si="17"/>
        <v>0</v>
      </c>
      <c r="E75" s="44">
        <f t="shared" si="18"/>
        <v>0</v>
      </c>
      <c r="H75" s="226" t="s">
        <v>21</v>
      </c>
      <c r="I75" s="43">
        <f t="shared" si="19"/>
        <v>0</v>
      </c>
      <c r="J75" s="43">
        <f t="shared" si="20"/>
        <v>0</v>
      </c>
      <c r="K75" s="44">
        <f t="shared" si="21"/>
        <v>0</v>
      </c>
      <c r="L75" s="229"/>
      <c r="M75" s="229"/>
      <c r="N75" s="81" t="s">
        <v>21</v>
      </c>
      <c r="O75" s="43">
        <f t="shared" si="22"/>
        <v>0</v>
      </c>
      <c r="P75" s="43">
        <f t="shared" si="23"/>
        <v>0</v>
      </c>
      <c r="Q75" s="44">
        <f t="shared" si="24"/>
        <v>0</v>
      </c>
    </row>
    <row r="76" spans="1:18" ht="15.75">
      <c r="A76" s="23">
        <v>66</v>
      </c>
      <c r="B76" s="43">
        <f t="shared" si="15"/>
        <v>0</v>
      </c>
      <c r="C76" s="65">
        <f t="shared" si="16"/>
        <v>0</v>
      </c>
      <c r="D76" s="65">
        <f t="shared" si="17"/>
        <v>0</v>
      </c>
      <c r="E76" s="44">
        <f t="shared" si="18"/>
        <v>0</v>
      </c>
      <c r="H76" s="226" t="s">
        <v>22</v>
      </c>
      <c r="I76" s="43">
        <f t="shared" si="19"/>
        <v>0</v>
      </c>
      <c r="J76" s="43">
        <f t="shared" si="20"/>
        <v>0</v>
      </c>
      <c r="K76" s="44">
        <f t="shared" si="21"/>
        <v>0</v>
      </c>
      <c r="L76" s="229"/>
      <c r="M76" s="229"/>
      <c r="N76" s="81" t="s">
        <v>22</v>
      </c>
      <c r="O76" s="43">
        <f t="shared" si="22"/>
        <v>0</v>
      </c>
      <c r="P76" s="43">
        <f t="shared" si="23"/>
        <v>0</v>
      </c>
      <c r="Q76" s="44">
        <f t="shared" si="24"/>
        <v>0</v>
      </c>
    </row>
    <row r="77" spans="1:18" ht="15.75">
      <c r="A77" s="23">
        <v>67</v>
      </c>
      <c r="B77" s="43">
        <f t="shared" si="15"/>
        <v>0</v>
      </c>
      <c r="C77" s="65">
        <f t="shared" si="16"/>
        <v>0</v>
      </c>
      <c r="D77" s="65">
        <f t="shared" si="17"/>
        <v>0</v>
      </c>
      <c r="E77" s="44">
        <f t="shared" si="18"/>
        <v>0</v>
      </c>
      <c r="H77" s="226" t="s">
        <v>23</v>
      </c>
      <c r="I77" s="43">
        <f t="shared" si="19"/>
        <v>0</v>
      </c>
      <c r="J77" s="43">
        <f t="shared" si="20"/>
        <v>0</v>
      </c>
      <c r="K77" s="44">
        <f t="shared" si="21"/>
        <v>0</v>
      </c>
      <c r="L77" s="229"/>
      <c r="M77" s="229"/>
      <c r="N77" s="81" t="s">
        <v>23</v>
      </c>
      <c r="O77" s="43">
        <f t="shared" si="22"/>
        <v>0</v>
      </c>
      <c r="P77" s="43">
        <f t="shared" si="23"/>
        <v>0</v>
      </c>
      <c r="Q77" s="44">
        <f t="shared" si="24"/>
        <v>0</v>
      </c>
    </row>
    <row r="78" spans="1:18" ht="15.75">
      <c r="A78" s="23">
        <v>68</v>
      </c>
      <c r="B78" s="43">
        <f t="shared" si="15"/>
        <v>0</v>
      </c>
      <c r="C78" s="65">
        <f t="shared" si="16"/>
        <v>0</v>
      </c>
      <c r="D78" s="65">
        <f t="shared" si="17"/>
        <v>0</v>
      </c>
      <c r="E78" s="44">
        <f t="shared" si="18"/>
        <v>0</v>
      </c>
      <c r="H78" s="226" t="s">
        <v>24</v>
      </c>
      <c r="I78" s="43">
        <f t="shared" si="19"/>
        <v>0</v>
      </c>
      <c r="J78" s="43">
        <f t="shared" si="20"/>
        <v>0</v>
      </c>
      <c r="K78" s="44">
        <f t="shared" si="21"/>
        <v>0</v>
      </c>
      <c r="L78" s="229"/>
      <c r="M78" s="229"/>
      <c r="N78" s="81" t="s">
        <v>24</v>
      </c>
      <c r="O78" s="43">
        <f t="shared" si="22"/>
        <v>0</v>
      </c>
      <c r="P78" s="43">
        <f t="shared" si="23"/>
        <v>0</v>
      </c>
      <c r="Q78" s="44">
        <f t="shared" si="24"/>
        <v>0</v>
      </c>
    </row>
    <row r="79" spans="1:18" ht="15.75">
      <c r="A79" s="23">
        <v>69</v>
      </c>
      <c r="B79" s="43">
        <f t="shared" si="15"/>
        <v>0</v>
      </c>
      <c r="C79" s="65">
        <f t="shared" si="16"/>
        <v>0</v>
      </c>
      <c r="D79" s="65">
        <f t="shared" si="17"/>
        <v>0</v>
      </c>
      <c r="E79" s="44">
        <f t="shared" si="18"/>
        <v>0</v>
      </c>
      <c r="H79" s="226" t="s">
        <v>25</v>
      </c>
      <c r="I79" s="43">
        <f t="shared" si="19"/>
        <v>0</v>
      </c>
      <c r="J79" s="43">
        <f t="shared" si="20"/>
        <v>0</v>
      </c>
      <c r="K79" s="44">
        <f t="shared" si="21"/>
        <v>0</v>
      </c>
      <c r="L79" s="229"/>
      <c r="M79" s="229"/>
      <c r="N79" s="81" t="s">
        <v>25</v>
      </c>
      <c r="O79" s="43">
        <f t="shared" si="22"/>
        <v>0</v>
      </c>
      <c r="P79" s="43">
        <f t="shared" si="23"/>
        <v>0</v>
      </c>
      <c r="Q79" s="44">
        <f t="shared" si="24"/>
        <v>0</v>
      </c>
    </row>
    <row r="80" spans="1:18" ht="15.75">
      <c r="A80" s="23">
        <v>70</v>
      </c>
      <c r="B80" s="43">
        <f t="shared" si="15"/>
        <v>0</v>
      </c>
      <c r="C80" s="65">
        <f t="shared" si="16"/>
        <v>0</v>
      </c>
      <c r="D80" s="65">
        <f t="shared" si="17"/>
        <v>0</v>
      </c>
      <c r="E80" s="44">
        <f t="shared" si="18"/>
        <v>0</v>
      </c>
      <c r="H80" s="226" t="s">
        <v>26</v>
      </c>
      <c r="I80" s="43">
        <f t="shared" si="19"/>
        <v>0</v>
      </c>
      <c r="J80" s="43">
        <f t="shared" si="20"/>
        <v>0</v>
      </c>
      <c r="K80" s="44">
        <f t="shared" si="21"/>
        <v>0</v>
      </c>
      <c r="L80" s="229"/>
      <c r="M80" s="229"/>
      <c r="N80" s="81" t="s">
        <v>26</v>
      </c>
      <c r="O80" s="43">
        <f t="shared" si="22"/>
        <v>0</v>
      </c>
      <c r="P80" s="43">
        <f t="shared" si="23"/>
        <v>0</v>
      </c>
      <c r="Q80" s="44">
        <f t="shared" si="24"/>
        <v>0</v>
      </c>
    </row>
    <row r="81" spans="1:17" ht="15.75">
      <c r="A81" s="23">
        <v>71</v>
      </c>
      <c r="B81" s="43">
        <f t="shared" si="15"/>
        <v>0</v>
      </c>
      <c r="C81" s="65">
        <f t="shared" si="16"/>
        <v>0</v>
      </c>
      <c r="D81" s="65">
        <f t="shared" si="17"/>
        <v>0</v>
      </c>
      <c r="E81" s="44">
        <f t="shared" si="18"/>
        <v>0</v>
      </c>
      <c r="H81" s="226" t="s">
        <v>27</v>
      </c>
      <c r="I81" s="43">
        <f t="shared" si="19"/>
        <v>0</v>
      </c>
      <c r="J81" s="43">
        <f t="shared" si="20"/>
        <v>0</v>
      </c>
      <c r="K81" s="44">
        <f t="shared" si="21"/>
        <v>0</v>
      </c>
      <c r="L81" s="229"/>
      <c r="M81" s="229"/>
      <c r="N81" s="81" t="s">
        <v>27</v>
      </c>
      <c r="O81" s="43">
        <f t="shared" si="22"/>
        <v>0</v>
      </c>
      <c r="P81" s="43">
        <f t="shared" si="23"/>
        <v>0</v>
      </c>
      <c r="Q81" s="44">
        <f t="shared" si="24"/>
        <v>0</v>
      </c>
    </row>
    <row r="82" spans="1:17" ht="16.5" thickBot="1">
      <c r="A82" s="26">
        <v>72</v>
      </c>
      <c r="B82" s="48">
        <f t="shared" si="15"/>
        <v>0</v>
      </c>
      <c r="C82" s="78">
        <f t="shared" si="16"/>
        <v>0</v>
      </c>
      <c r="D82" s="78">
        <f t="shared" si="17"/>
        <v>0</v>
      </c>
      <c r="E82" s="49">
        <f t="shared" si="18"/>
        <v>0</v>
      </c>
      <c r="F82" s="243">
        <f>SUM(D71:D82)</f>
        <v>0</v>
      </c>
      <c r="H82" s="47" t="s">
        <v>28</v>
      </c>
      <c r="I82" s="48">
        <f t="shared" si="19"/>
        <v>0</v>
      </c>
      <c r="J82" s="48">
        <f t="shared" si="20"/>
        <v>0</v>
      </c>
      <c r="K82" s="49">
        <f t="shared" si="21"/>
        <v>0</v>
      </c>
      <c r="N82" s="87" t="s">
        <v>28</v>
      </c>
      <c r="O82" s="48">
        <f t="shared" si="22"/>
        <v>0</v>
      </c>
      <c r="P82" s="48">
        <f t="shared" si="23"/>
        <v>0</v>
      </c>
      <c r="Q82" s="49">
        <f t="shared" si="24"/>
        <v>0</v>
      </c>
    </row>
    <row r="83" spans="1:17" ht="13.5" thickTop="1"/>
  </sheetData>
  <sheetProtection sheet="1" formatColumns="0" formatRows="0"/>
  <mergeCells count="10">
    <mergeCell ref="G59:G70"/>
    <mergeCell ref="M59:M70"/>
    <mergeCell ref="G11:G22"/>
    <mergeCell ref="M11:M22"/>
    <mergeCell ref="G23:G34"/>
    <mergeCell ref="M23:M34"/>
    <mergeCell ref="G35:G46"/>
    <mergeCell ref="M35:M46"/>
    <mergeCell ref="G47:G58"/>
    <mergeCell ref="M47:M58"/>
  </mergeCells>
  <phoneticPr fontId="9" type="noConversion"/>
  <dataValidations count="2">
    <dataValidation allowBlank="1" showInputMessage="1" showErrorMessage="1" error="Solo valores enteros comprendidos entre 1 y 5" sqref="I6"/>
    <dataValidation type="whole" allowBlank="1" showInputMessage="1" showErrorMessage="1" prompt="12 - Pago mensual_x000a_  6 - Pago bimestral_x000a_  4 - Pago trimestral_x000a_  3 - Pago cuatrimestral_x000a_  2 - Pago semestral_x000a_  1 - Pago anual" sqref="B8">
      <formula1>1</formula1>
      <formula2>12</formula2>
    </dataValidation>
  </dataValidations>
  <pageMargins left="0.75" right="0.75" top="1" bottom="1" header="0" footer="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U83"/>
  <sheetViews>
    <sheetView topLeftCell="C1" zoomScale="75" workbookViewId="0">
      <selection activeCell="T18" sqref="T18"/>
    </sheetView>
  </sheetViews>
  <sheetFormatPr baseColWidth="10" defaultRowHeight="12.75"/>
  <cols>
    <col min="1" max="1" width="22.83203125" customWidth="1"/>
    <col min="2" max="2" width="16.83203125" customWidth="1"/>
    <col min="3" max="3" width="18.83203125" customWidth="1"/>
    <col min="4" max="4" width="18.1640625" customWidth="1"/>
    <col min="5" max="5" width="15.83203125" customWidth="1"/>
    <col min="6" max="6" width="5.1640625" customWidth="1"/>
    <col min="7" max="7" width="6" bestFit="1" customWidth="1"/>
    <col min="8" max="8" width="13.5" bestFit="1" customWidth="1"/>
    <col min="9" max="9" width="14.1640625" customWidth="1"/>
    <col min="10" max="10" width="15" bestFit="1" customWidth="1"/>
    <col min="11" max="11" width="14.6640625" customWidth="1"/>
    <col min="12" max="12" width="5.1640625" customWidth="1"/>
    <col min="13" max="13" width="6" bestFit="1" customWidth="1"/>
    <col min="14" max="14" width="16.1640625" customWidth="1"/>
    <col min="15" max="15" width="18" customWidth="1"/>
    <col min="16" max="16" width="16.1640625" customWidth="1"/>
    <col min="17" max="17" width="15.83203125" customWidth="1"/>
    <col min="18" max="18" width="17.5" customWidth="1"/>
  </cols>
  <sheetData>
    <row r="1" spans="1:21" ht="26.25" thickBot="1">
      <c r="A1" s="8">
        <f>'1.Datos Básicos. Product-Serv'!B5</f>
        <v>0</v>
      </c>
      <c r="B1" s="51"/>
      <c r="C1" s="51"/>
      <c r="D1" s="51"/>
      <c r="E1" s="51"/>
      <c r="F1" s="51"/>
      <c r="G1" s="51"/>
      <c r="H1" s="51"/>
      <c r="I1" s="51"/>
      <c r="J1" s="51"/>
      <c r="K1" s="51"/>
      <c r="L1" s="51"/>
      <c r="M1" s="81"/>
      <c r="N1" s="82"/>
      <c r="O1" s="51"/>
      <c r="P1" s="51"/>
      <c r="Q1" s="51"/>
      <c r="R1" s="51"/>
    </row>
    <row r="2" spans="1:21" ht="33" thickTop="1" thickBot="1">
      <c r="A2" s="8"/>
      <c r="B2" s="51"/>
      <c r="C2" s="51"/>
      <c r="D2" s="51"/>
      <c r="E2" s="51"/>
      <c r="F2" s="51"/>
      <c r="G2" s="51"/>
      <c r="H2" s="51"/>
      <c r="I2" s="51"/>
      <c r="J2" s="51"/>
      <c r="K2" s="51"/>
      <c r="L2" s="51"/>
      <c r="M2" s="81"/>
      <c r="N2" s="83" t="s">
        <v>68</v>
      </c>
      <c r="O2" s="54" t="s">
        <v>14</v>
      </c>
      <c r="P2" s="54" t="s">
        <v>66</v>
      </c>
      <c r="Q2" s="55" t="s">
        <v>67</v>
      </c>
      <c r="R2" s="56" t="s">
        <v>15</v>
      </c>
      <c r="S2" s="242" t="s">
        <v>419</v>
      </c>
      <c r="T2" s="242" t="s">
        <v>420</v>
      </c>
    </row>
    <row r="3" spans="1:21" ht="26.25" thickTop="1">
      <c r="A3" s="8" t="s">
        <v>89</v>
      </c>
      <c r="B3" s="51"/>
      <c r="C3" s="105"/>
      <c r="D3" s="51"/>
      <c r="E3" s="51"/>
      <c r="F3" s="51"/>
      <c r="G3" s="50"/>
      <c r="H3" s="51"/>
      <c r="I3" s="51"/>
      <c r="J3" s="51"/>
      <c r="K3" s="51"/>
      <c r="L3" s="51"/>
      <c r="M3" s="81"/>
      <c r="N3" s="27">
        <f>'1.Datos Básicos. Product-Serv'!$B$7</f>
        <v>0</v>
      </c>
      <c r="O3" s="41">
        <f>SUM(O11:O22)</f>
        <v>0</v>
      </c>
      <c r="P3" s="41">
        <f>SUM(P11:P22)</f>
        <v>0</v>
      </c>
      <c r="Q3" s="41">
        <f>SUM(Q11:Q22)</f>
        <v>0</v>
      </c>
      <c r="R3" s="44">
        <f>IF($I$6=1,$B$5-Q3,0)</f>
        <v>0</v>
      </c>
      <c r="S3" s="245">
        <v>0</v>
      </c>
      <c r="T3" s="245">
        <v>0</v>
      </c>
      <c r="U3" s="246">
        <f t="shared" ref="U3:U8" si="0">SUM(S3:T3)</f>
        <v>0</v>
      </c>
    </row>
    <row r="4" spans="1:21" ht="16.5" thickBot="1">
      <c r="A4" s="9"/>
      <c r="B4" s="51"/>
      <c r="C4" s="51"/>
      <c r="D4" s="51"/>
      <c r="E4" s="51"/>
      <c r="F4" s="51"/>
      <c r="G4" s="51"/>
      <c r="H4" s="51"/>
      <c r="I4" s="51"/>
      <c r="J4" s="51"/>
      <c r="K4" s="51"/>
      <c r="L4" s="51"/>
      <c r="M4" s="81"/>
      <c r="N4" s="28">
        <f>'1.Datos Básicos. Product-Serv'!$B$7+1</f>
        <v>1</v>
      </c>
      <c r="O4" s="43">
        <f>SUM(O23:O34)</f>
        <v>0</v>
      </c>
      <c r="P4" s="43">
        <f>SUM(P23:P34)</f>
        <v>0</v>
      </c>
      <c r="Q4" s="43">
        <f>SUM(Q23:Q34)</f>
        <v>0</v>
      </c>
      <c r="R4" s="44">
        <f>IF($I$6=1,$B$5-(Q3+Q4),IF($I$6=2,$B$5-Q4,0))</f>
        <v>0</v>
      </c>
      <c r="S4" s="245">
        <v>0</v>
      </c>
      <c r="T4" s="245">
        <v>0</v>
      </c>
      <c r="U4" s="246">
        <f t="shared" si="0"/>
        <v>0</v>
      </c>
    </row>
    <row r="5" spans="1:21" ht="17.25" thickTop="1" thickBot="1">
      <c r="A5" s="10" t="s">
        <v>71</v>
      </c>
      <c r="B5" s="118">
        <f>'(0) 3c. Cuadro Renting y L'!L17</f>
        <v>0</v>
      </c>
      <c r="C5" s="57"/>
      <c r="D5" s="51"/>
      <c r="E5" s="51"/>
      <c r="F5" s="51"/>
      <c r="G5" s="51"/>
      <c r="H5" s="51"/>
      <c r="I5" s="51"/>
      <c r="J5" s="51"/>
      <c r="K5" s="51"/>
      <c r="L5" s="51"/>
      <c r="M5" s="81"/>
      <c r="N5" s="28">
        <f>'1.Datos Básicos. Product-Serv'!$B$7+2</f>
        <v>2</v>
      </c>
      <c r="O5" s="43">
        <f>SUM(O35:O46)</f>
        <v>0</v>
      </c>
      <c r="P5" s="43">
        <f>SUM(P35:P46)</f>
        <v>0</v>
      </c>
      <c r="Q5" s="43">
        <f>SUM(Q35:Q46)</f>
        <v>0</v>
      </c>
      <c r="R5" s="44">
        <f>IF($I$6=1,$B$5-(Q3+Q4+Q5),IF($I$6=2,$B$5-(Q4+Q5),IF($I$6=3,$B$5-(Q5),0)))</f>
        <v>0</v>
      </c>
      <c r="S5" s="245">
        <f>IF($E$22=0,0,$E$22-$F$34)</f>
        <v>0</v>
      </c>
      <c r="T5" s="245">
        <f>$F$34</f>
        <v>0</v>
      </c>
      <c r="U5" s="246">
        <f t="shared" si="0"/>
        <v>0</v>
      </c>
    </row>
    <row r="6" spans="1:21" ht="16.5" thickBot="1">
      <c r="A6" s="11" t="s">
        <v>9</v>
      </c>
      <c r="B6" s="230">
        <f>'(0) 3c. Cuadro Renting y L'!L18</f>
        <v>0.05</v>
      </c>
      <c r="C6" s="57"/>
      <c r="D6" s="57"/>
      <c r="E6" s="58" t="s">
        <v>73</v>
      </c>
      <c r="F6" s="59"/>
      <c r="G6" s="60"/>
      <c r="H6" s="60"/>
      <c r="I6" s="110" t="str">
        <f>IF('(0) 3c. Cuadro Renting y L'!L17&gt;0,3,"")</f>
        <v/>
      </c>
      <c r="J6" s="61" t="s">
        <v>75</v>
      </c>
      <c r="K6" s="51"/>
      <c r="L6" s="51"/>
      <c r="M6" s="81"/>
      <c r="N6" s="28">
        <f>'1.Datos Básicos. Product-Serv'!$B$7+3</f>
        <v>3</v>
      </c>
      <c r="O6" s="43">
        <f>SUM(O47:O58)</f>
        <v>0</v>
      </c>
      <c r="P6" s="43">
        <f>SUM(P47:P58)</f>
        <v>0</v>
      </c>
      <c r="Q6" s="43">
        <f>SUM(Q47:Q58)</f>
        <v>0</v>
      </c>
      <c r="R6" s="44">
        <f>IF($I$6=1,$B$5-(Q3+Q4+Q5+Q6),IF($I$6=2,$B$5-(Q4+Q5+Q6),IF($I$6=3,$B$5-(Q5+Q6),IF($I$6=4,$B$5-Q6,0))))</f>
        <v>0</v>
      </c>
      <c r="S6" s="245">
        <f>IF($E$34=0,0,$E$34-$F$46)</f>
        <v>0</v>
      </c>
      <c r="T6" s="245">
        <f>$F$46</f>
        <v>0</v>
      </c>
      <c r="U6" s="246">
        <f t="shared" si="0"/>
        <v>0</v>
      </c>
    </row>
    <row r="7" spans="1:21" ht="16.5" thickBot="1">
      <c r="A7" s="11" t="s">
        <v>10</v>
      </c>
      <c r="B7" s="119">
        <f>'(0) 3c. Cuadro Renting y L'!L19</f>
        <v>4</v>
      </c>
      <c r="C7" s="57"/>
      <c r="D7" s="51"/>
      <c r="E7" s="51"/>
      <c r="F7" s="51"/>
      <c r="G7" s="51"/>
      <c r="H7" s="51"/>
      <c r="I7" s="51"/>
      <c r="J7" s="51"/>
      <c r="K7" s="51"/>
      <c r="L7" s="51"/>
      <c r="M7" s="81"/>
      <c r="N7" s="29">
        <f>'1.Datos Básicos. Product-Serv'!$B$7+4</f>
        <v>4</v>
      </c>
      <c r="O7" s="48">
        <f>SUM(O59:O70)</f>
        <v>0</v>
      </c>
      <c r="P7" s="48">
        <f>SUM(P59:P70)</f>
        <v>0</v>
      </c>
      <c r="Q7" s="48">
        <f>SUM(Q59:Q70)</f>
        <v>0</v>
      </c>
      <c r="R7" s="49">
        <f>IF($I$6=1,$B$5-(Q3+Q4+Q5+Q6+Q7),IF($I$6=2,$B$5-(Q4+Q5+Q6+Q7),IF($I$6=3,$B$5-(Q5+Q6+Q7),IF($I$6=4,$B$5-(Q6+Q7),IF($I$6=5,$B$5-Q7,0)))))</f>
        <v>0</v>
      </c>
      <c r="S7" s="245">
        <f>IF($E$46=0,0,$E$46-$F$58)</f>
        <v>0</v>
      </c>
      <c r="T7" s="245">
        <f>$F$58</f>
        <v>0</v>
      </c>
      <c r="U7" s="246">
        <f t="shared" si="0"/>
        <v>0</v>
      </c>
    </row>
    <row r="8" spans="1:21" ht="17.25" thickTop="1" thickBot="1">
      <c r="A8" s="16" t="s">
        <v>12</v>
      </c>
      <c r="B8" s="120">
        <f>'(0) 3c. Cuadro Renting y L'!L20</f>
        <v>12</v>
      </c>
      <c r="C8" s="57"/>
      <c r="D8" s="51"/>
      <c r="E8" s="51"/>
      <c r="F8" s="51"/>
      <c r="G8" s="51"/>
      <c r="H8" s="51"/>
      <c r="I8" s="51"/>
      <c r="J8" s="51"/>
      <c r="K8" s="51"/>
      <c r="L8" s="51"/>
      <c r="M8" s="81"/>
      <c r="N8" s="228">
        <f>'1.Datos Básicos. Product-Serv'!$B$7+5</f>
        <v>5</v>
      </c>
      <c r="O8" s="48">
        <f>SUM(O71:O82)</f>
        <v>0</v>
      </c>
      <c r="P8" s="48">
        <f>SUM(P71:P82)</f>
        <v>0</v>
      </c>
      <c r="Q8" s="48">
        <f>SUM(Q71:Q82)</f>
        <v>0</v>
      </c>
      <c r="R8" s="49">
        <f>IF($I$6=1,$B$5-(Q3+Q4+Q5+Q6+Q7+Q8),IF($I$6=2,$B$5-(Q4+Q5+Q6+Q7+Q8),IF($I$6=3,$B$5-(Q5+Q6+Q7+Q8),IF($I$6=4,$B$5-(Q6+Q7+Q8),IF($I$6=5,$B$5-(Q7+Q8),IF($I$6=6,$B$5-Q8,0))))))</f>
        <v>0</v>
      </c>
      <c r="S8" s="244"/>
      <c r="T8" s="244"/>
      <c r="U8" s="246">
        <f t="shared" si="0"/>
        <v>0</v>
      </c>
    </row>
    <row r="9" spans="1:21" ht="17.25" thickTop="1" thickBot="1">
      <c r="A9" s="9"/>
      <c r="B9" s="51"/>
      <c r="C9" s="51"/>
      <c r="D9" s="51"/>
      <c r="E9" s="51"/>
      <c r="F9" s="51"/>
      <c r="G9" s="51"/>
      <c r="H9" s="51"/>
      <c r="I9" s="51"/>
      <c r="J9" s="51"/>
      <c r="K9" s="51"/>
      <c r="L9" s="51"/>
      <c r="M9" s="81"/>
      <c r="N9" s="81"/>
      <c r="O9" s="51"/>
      <c r="P9" s="51"/>
      <c r="Q9" s="51"/>
      <c r="R9" s="51"/>
    </row>
    <row r="10" spans="1:21" ht="33" thickTop="1" thickBot="1">
      <c r="A10" s="17" t="s">
        <v>13</v>
      </c>
      <c r="B10" s="62" t="s">
        <v>14</v>
      </c>
      <c r="C10" s="62" t="s">
        <v>64</v>
      </c>
      <c r="D10" s="62" t="s">
        <v>65</v>
      </c>
      <c r="E10" s="63" t="s">
        <v>15</v>
      </c>
      <c r="F10" s="64"/>
      <c r="G10" s="51"/>
      <c r="H10" s="53" t="s">
        <v>42</v>
      </c>
      <c r="I10" s="62" t="s">
        <v>14</v>
      </c>
      <c r="J10" s="62" t="s">
        <v>66</v>
      </c>
      <c r="K10" s="63" t="s">
        <v>67</v>
      </c>
      <c r="L10" s="64"/>
      <c r="M10" s="84"/>
      <c r="N10" s="83" t="s">
        <v>42</v>
      </c>
      <c r="O10" s="54" t="s">
        <v>14</v>
      </c>
      <c r="P10" s="54" t="s">
        <v>66</v>
      </c>
      <c r="Q10" s="56" t="s">
        <v>67</v>
      </c>
      <c r="R10" s="51"/>
    </row>
    <row r="11" spans="1:21" ht="16.5" thickTop="1">
      <c r="A11" s="21">
        <v>1</v>
      </c>
      <c r="B11" s="43">
        <f t="shared" ref="B11:B70" si="1">IF(E10&gt;0,PMT($B$6/12,$B$7*$B$8,-$B$5,,1),0)</f>
        <v>0</v>
      </c>
      <c r="C11" s="232">
        <f>IF(E10&gt;0,B11-D11,0)+'(0) 3c. Cuadro Renting y L'!L21*0</f>
        <v>0</v>
      </c>
      <c r="D11" s="66">
        <f>B11</f>
        <v>0</v>
      </c>
      <c r="E11" s="67">
        <f>Capital-D11</f>
        <v>0</v>
      </c>
      <c r="F11" s="51"/>
      <c r="G11" s="4200">
        <f>IF($B$5=0,$N$3,IF(O3&gt;0,N3,IF(O4&gt;0,N4,IF(O5&gt;0,N5,IF(O6&gt;0,N6,N7)))))</f>
        <v>0</v>
      </c>
      <c r="H11" s="40" t="s">
        <v>17</v>
      </c>
      <c r="I11" s="41">
        <f>$B$11</f>
        <v>0</v>
      </c>
      <c r="J11" s="41">
        <f>C11</f>
        <v>0</v>
      </c>
      <c r="K11" s="68">
        <f>D11</f>
        <v>0</v>
      </c>
      <c r="L11" s="51"/>
      <c r="M11" s="4200">
        <f>'1.Datos Básicos. Product-Serv'!$B$7</f>
        <v>0</v>
      </c>
      <c r="N11" s="85" t="s">
        <v>17</v>
      </c>
      <c r="O11" s="41">
        <f>IF($I$6=1,I11,0)</f>
        <v>0</v>
      </c>
      <c r="P11" s="41">
        <f t="shared" ref="P11:Q22" si="2">IF($I$6=1,J11,0)</f>
        <v>0</v>
      </c>
      <c r="Q11" s="42">
        <f t="shared" si="2"/>
        <v>0</v>
      </c>
      <c r="R11" s="51"/>
    </row>
    <row r="12" spans="1:21" ht="15.75">
      <c r="A12" s="23">
        <v>2</v>
      </c>
      <c r="B12" s="43">
        <f t="shared" si="1"/>
        <v>0</v>
      </c>
      <c r="C12" s="65">
        <f t="shared" ref="C12:C70" si="3">IF(E11&gt;0,B12-D12,0)</f>
        <v>0</v>
      </c>
      <c r="D12" s="65">
        <f t="shared" ref="D12:D70" si="4">IF(E11&gt;0,B12-(E11*(Interes/12)),0)</f>
        <v>0</v>
      </c>
      <c r="E12" s="68">
        <f t="shared" ref="E12:E70" si="5">IF(E11&gt;0,IF((E11-D12)&gt;0.01,E11-D12,0),0)</f>
        <v>0</v>
      </c>
      <c r="F12" s="51"/>
      <c r="G12" s="4201"/>
      <c r="H12" s="40" t="s">
        <v>18</v>
      </c>
      <c r="I12" s="43">
        <f>IF($B$8=12,B12,0)</f>
        <v>0</v>
      </c>
      <c r="J12" s="43">
        <f>IF($B$8=12,C12,0)</f>
        <v>0</v>
      </c>
      <c r="K12" s="68">
        <f>IF($B$8=12,D12,0)</f>
        <v>0</v>
      </c>
      <c r="L12" s="51"/>
      <c r="M12" s="4201"/>
      <c r="N12" s="81" t="s">
        <v>18</v>
      </c>
      <c r="O12" s="43">
        <f t="shared" ref="O12:O22" si="6">IF($I$6=1,I12,0)</f>
        <v>0</v>
      </c>
      <c r="P12" s="43">
        <f t="shared" si="2"/>
        <v>0</v>
      </c>
      <c r="Q12" s="44">
        <f t="shared" si="2"/>
        <v>0</v>
      </c>
      <c r="R12" s="51"/>
    </row>
    <row r="13" spans="1:21" ht="15.75">
      <c r="A13" s="23">
        <v>3</v>
      </c>
      <c r="B13" s="43">
        <f t="shared" si="1"/>
        <v>0</v>
      </c>
      <c r="C13" s="65">
        <f t="shared" si="3"/>
        <v>0</v>
      </c>
      <c r="D13" s="65">
        <f t="shared" si="4"/>
        <v>0</v>
      </c>
      <c r="E13" s="68">
        <f t="shared" si="5"/>
        <v>0</v>
      </c>
      <c r="F13" s="51"/>
      <c r="G13" s="4201"/>
      <c r="H13" s="40" t="s">
        <v>19</v>
      </c>
      <c r="I13" s="43">
        <f>IF($B$8=12,B13,IF($B$8=6,B12,0))</f>
        <v>0</v>
      </c>
      <c r="J13" s="43">
        <f>IF($B$8=12,C13,IF($B$8=6,C12,0))</f>
        <v>0</v>
      </c>
      <c r="K13" s="68">
        <f>IF($B$8=12,D13,IF($B$8=6,D12,0))</f>
        <v>0</v>
      </c>
      <c r="L13" s="51"/>
      <c r="M13" s="4201"/>
      <c r="N13" s="81" t="s">
        <v>19</v>
      </c>
      <c r="O13" s="43">
        <f t="shared" si="6"/>
        <v>0</v>
      </c>
      <c r="P13" s="43">
        <f t="shared" si="2"/>
        <v>0</v>
      </c>
      <c r="Q13" s="44">
        <f t="shared" si="2"/>
        <v>0</v>
      </c>
      <c r="R13" s="51"/>
    </row>
    <row r="14" spans="1:21" ht="15.75">
      <c r="A14" s="23">
        <v>4</v>
      </c>
      <c r="B14" s="43">
        <f t="shared" si="1"/>
        <v>0</v>
      </c>
      <c r="C14" s="65">
        <f t="shared" si="3"/>
        <v>0</v>
      </c>
      <c r="D14" s="65">
        <f t="shared" si="4"/>
        <v>0</v>
      </c>
      <c r="E14" s="68">
        <f t="shared" si="5"/>
        <v>0</v>
      </c>
      <c r="F14" s="51"/>
      <c r="G14" s="4201"/>
      <c r="H14" s="40" t="s">
        <v>20</v>
      </c>
      <c r="I14" s="43">
        <f>IF($B$8=12,B14,IF($B$8=4,B12,IF($B$8=6,0,IF($B$8=3,0,0))))</f>
        <v>0</v>
      </c>
      <c r="J14" s="43">
        <f>IF($B$8=12,C14,IF($B$8=4,C12,IF($B$8=6,0,IF($B$8=3,0,0))))</f>
        <v>0</v>
      </c>
      <c r="K14" s="68">
        <f>IF($B$8=12,D14,IF($B$8=4,D12,IF($B$8=6,0,IF($B$8=3,0,0))))</f>
        <v>0</v>
      </c>
      <c r="L14" s="51"/>
      <c r="M14" s="4201"/>
      <c r="N14" s="81" t="s">
        <v>20</v>
      </c>
      <c r="O14" s="43">
        <f t="shared" si="6"/>
        <v>0</v>
      </c>
      <c r="P14" s="43">
        <f t="shared" si="2"/>
        <v>0</v>
      </c>
      <c r="Q14" s="44">
        <f t="shared" si="2"/>
        <v>0</v>
      </c>
      <c r="R14" s="51"/>
    </row>
    <row r="15" spans="1:21" ht="15.75">
      <c r="A15" s="23">
        <v>5</v>
      </c>
      <c r="B15" s="43">
        <f t="shared" si="1"/>
        <v>0</v>
      </c>
      <c r="C15" s="65">
        <f t="shared" si="3"/>
        <v>0</v>
      </c>
      <c r="D15" s="65">
        <f t="shared" si="4"/>
        <v>0</v>
      </c>
      <c r="E15" s="68">
        <f t="shared" si="5"/>
        <v>0</v>
      </c>
      <c r="F15" s="51"/>
      <c r="G15" s="4201"/>
      <c r="H15" s="40" t="s">
        <v>21</v>
      </c>
      <c r="I15" s="43">
        <f>IF($B$8=12,B15,IF($B$8=4,0,IF($B$8=6,B13,IF($B$8=3,B12,0))))</f>
        <v>0</v>
      </c>
      <c r="J15" s="43">
        <f>IF($B$8=12,C15,IF($B$8=4,0,IF($B$8=6,C13,IF($B$8=3,C12,0))))</f>
        <v>0</v>
      </c>
      <c r="K15" s="68">
        <f>IF($B$8=12,D15,IF($B$8=4,0,IF($B$8=6,D13,IF($B$8=3,D12,0))))</f>
        <v>0</v>
      </c>
      <c r="L15" s="51"/>
      <c r="M15" s="4201"/>
      <c r="N15" s="81" t="s">
        <v>21</v>
      </c>
      <c r="O15" s="43">
        <f t="shared" si="6"/>
        <v>0</v>
      </c>
      <c r="P15" s="43">
        <f t="shared" si="2"/>
        <v>0</v>
      </c>
      <c r="Q15" s="44">
        <f t="shared" si="2"/>
        <v>0</v>
      </c>
      <c r="R15" s="51"/>
    </row>
    <row r="16" spans="1:21" ht="15.75">
      <c r="A16" s="23">
        <v>6</v>
      </c>
      <c r="B16" s="43">
        <f t="shared" si="1"/>
        <v>0</v>
      </c>
      <c r="C16" s="65">
        <f t="shared" si="3"/>
        <v>0</v>
      </c>
      <c r="D16" s="65">
        <f t="shared" si="4"/>
        <v>0</v>
      </c>
      <c r="E16" s="68">
        <f t="shared" si="5"/>
        <v>0</v>
      </c>
      <c r="F16" s="51"/>
      <c r="G16" s="4201"/>
      <c r="H16" s="40" t="s">
        <v>22</v>
      </c>
      <c r="I16" s="43">
        <f>IF($B$8=12,B16,IF($B$8=4,0,IF($B$8=6,0,IF($B$8=3,0,0))))</f>
        <v>0</v>
      </c>
      <c r="J16" s="43">
        <f>IF($B$8=12,C16,IF($B$8=4,0,IF($B$8=6,0,IF($B$8=3,0,0))))</f>
        <v>0</v>
      </c>
      <c r="K16" s="68">
        <f>IF($B$8=12,D16,IF($B$8=4,0,IF($B$8=6,0,IF($B$8=3,0,0))))</f>
        <v>0</v>
      </c>
      <c r="L16" s="51"/>
      <c r="M16" s="4201"/>
      <c r="N16" s="81" t="s">
        <v>22</v>
      </c>
      <c r="O16" s="43">
        <f t="shared" si="6"/>
        <v>0</v>
      </c>
      <c r="P16" s="43">
        <f t="shared" si="2"/>
        <v>0</v>
      </c>
      <c r="Q16" s="44">
        <f t="shared" si="2"/>
        <v>0</v>
      </c>
      <c r="R16" s="51"/>
    </row>
    <row r="17" spans="1:18" ht="15.75">
      <c r="A17" s="23">
        <v>7</v>
      </c>
      <c r="B17" s="43">
        <f t="shared" si="1"/>
        <v>0</v>
      </c>
      <c r="C17" s="65">
        <f t="shared" si="3"/>
        <v>0</v>
      </c>
      <c r="D17" s="65">
        <f t="shared" si="4"/>
        <v>0</v>
      </c>
      <c r="E17" s="68">
        <f t="shared" si="5"/>
        <v>0</v>
      </c>
      <c r="F17" s="51"/>
      <c r="G17" s="4201"/>
      <c r="H17" s="40" t="s">
        <v>23</v>
      </c>
      <c r="I17" s="43">
        <f>IF($B$8=12,B17,IF($B$8=4,B13,IF($B$8=6,B14,IF($B$8=3,0,IF($B$8=2,B12,0)))))</f>
        <v>0</v>
      </c>
      <c r="J17" s="43">
        <f>IF($B$8=12,C17,IF($B$8=4,C13,IF($B$8=6,C14,IF($B$8=3,0,IF($B$8=2,C12,0)))))</f>
        <v>0</v>
      </c>
      <c r="K17" s="68">
        <f>IF($B$8=12,D17,IF($B$8=4,D13,IF($B$8=6,D14,IF($B$8=3,0,IF($B$8=2,D12,0)))))</f>
        <v>0</v>
      </c>
      <c r="L17" s="51"/>
      <c r="M17" s="4201"/>
      <c r="N17" s="81" t="s">
        <v>23</v>
      </c>
      <c r="O17" s="43">
        <f t="shared" si="6"/>
        <v>0</v>
      </c>
      <c r="P17" s="43">
        <f t="shared" si="2"/>
        <v>0</v>
      </c>
      <c r="Q17" s="44">
        <f t="shared" si="2"/>
        <v>0</v>
      </c>
      <c r="R17" s="51"/>
    </row>
    <row r="18" spans="1:18" ht="15.75">
      <c r="A18" s="23">
        <v>8</v>
      </c>
      <c r="B18" s="43">
        <f t="shared" si="1"/>
        <v>0</v>
      </c>
      <c r="C18" s="65">
        <f t="shared" si="3"/>
        <v>0</v>
      </c>
      <c r="D18" s="65">
        <f t="shared" si="4"/>
        <v>0</v>
      </c>
      <c r="E18" s="68">
        <f t="shared" si="5"/>
        <v>0</v>
      </c>
      <c r="F18" s="51"/>
      <c r="G18" s="4201"/>
      <c r="H18" s="40" t="s">
        <v>24</v>
      </c>
      <c r="I18" s="43">
        <f>IF($B$8=12,B18,IF($B$8=4,0,IF($B$8=6,0,IF($B$8=3,0,0))))</f>
        <v>0</v>
      </c>
      <c r="J18" s="43">
        <f>IF($B$8=12,C18,IF($B$8=4,0,IF($B$8=6,0,IF($B$8=3,0,0))))</f>
        <v>0</v>
      </c>
      <c r="K18" s="68">
        <f>IF($B$8=12,D18,IF($B$8=4,0,IF($B$8=6,0,IF($B$8=3,0,0))))</f>
        <v>0</v>
      </c>
      <c r="L18" s="51"/>
      <c r="M18" s="4201"/>
      <c r="N18" s="81" t="s">
        <v>24</v>
      </c>
      <c r="O18" s="43">
        <f t="shared" si="6"/>
        <v>0</v>
      </c>
      <c r="P18" s="43">
        <f t="shared" si="2"/>
        <v>0</v>
      </c>
      <c r="Q18" s="44">
        <f t="shared" si="2"/>
        <v>0</v>
      </c>
      <c r="R18" s="51"/>
    </row>
    <row r="19" spans="1:18" ht="15.75">
      <c r="A19" s="23">
        <v>9</v>
      </c>
      <c r="B19" s="43">
        <f t="shared" si="1"/>
        <v>0</v>
      </c>
      <c r="C19" s="65">
        <f t="shared" si="3"/>
        <v>0</v>
      </c>
      <c r="D19" s="65">
        <f t="shared" si="4"/>
        <v>0</v>
      </c>
      <c r="E19" s="68">
        <f t="shared" si="5"/>
        <v>0</v>
      </c>
      <c r="F19" s="51"/>
      <c r="G19" s="4201"/>
      <c r="H19" s="40" t="s">
        <v>25</v>
      </c>
      <c r="I19" s="43">
        <f>IF($B$8=12,B19,IF($B$8=4,0,IF($B$8=6,B15,IF($B$8=3,B13,0))))</f>
        <v>0</v>
      </c>
      <c r="J19" s="43">
        <f>IF($B$8=12,C19,IF($B$8=4,0,IF($B$8=6,C15,IF($B$8=3,C13,0))))</f>
        <v>0</v>
      </c>
      <c r="K19" s="68">
        <f>IF($B$8=12,D19,IF($B$8=4,0,IF($B$8=6,D15,IF($B$8=3,D13,0))))</f>
        <v>0</v>
      </c>
      <c r="L19" s="51"/>
      <c r="M19" s="4201"/>
      <c r="N19" s="81" t="s">
        <v>25</v>
      </c>
      <c r="O19" s="43">
        <f t="shared" si="6"/>
        <v>0</v>
      </c>
      <c r="P19" s="43">
        <f t="shared" si="2"/>
        <v>0</v>
      </c>
      <c r="Q19" s="44">
        <f t="shared" si="2"/>
        <v>0</v>
      </c>
      <c r="R19" s="51"/>
    </row>
    <row r="20" spans="1:18" ht="15.75">
      <c r="A20" s="23">
        <v>10</v>
      </c>
      <c r="B20" s="43">
        <f t="shared" si="1"/>
        <v>0</v>
      </c>
      <c r="C20" s="65">
        <f t="shared" si="3"/>
        <v>0</v>
      </c>
      <c r="D20" s="65">
        <f t="shared" si="4"/>
        <v>0</v>
      </c>
      <c r="E20" s="68">
        <f t="shared" si="5"/>
        <v>0</v>
      </c>
      <c r="F20" s="51"/>
      <c r="G20" s="4201"/>
      <c r="H20" s="40" t="s">
        <v>26</v>
      </c>
      <c r="I20" s="43">
        <f>IF($B$8=12,B20,IF($B$8=4,B14,IF($B$8=6,0,IF($B$8=3,0,0))))</f>
        <v>0</v>
      </c>
      <c r="J20" s="43">
        <f>IF($B$8=12,C20,IF($B$8=4,C14,IF($B$8=6,0,IF($B$8=3,0,0))))</f>
        <v>0</v>
      </c>
      <c r="K20" s="68">
        <f>IF($B$8=12,D20,IF($B$8=4,D14,IF($B$8=6,0,IF($B$8=3,0,0))))</f>
        <v>0</v>
      </c>
      <c r="L20" s="51"/>
      <c r="M20" s="4201"/>
      <c r="N20" s="81" t="s">
        <v>26</v>
      </c>
      <c r="O20" s="43">
        <f t="shared" si="6"/>
        <v>0</v>
      </c>
      <c r="P20" s="43">
        <f t="shared" si="2"/>
        <v>0</v>
      </c>
      <c r="Q20" s="44">
        <f t="shared" si="2"/>
        <v>0</v>
      </c>
      <c r="R20" s="51"/>
    </row>
    <row r="21" spans="1:18" ht="15.75">
      <c r="A21" s="23">
        <v>11</v>
      </c>
      <c r="B21" s="43">
        <f t="shared" si="1"/>
        <v>0</v>
      </c>
      <c r="C21" s="65">
        <f t="shared" si="3"/>
        <v>0</v>
      </c>
      <c r="D21" s="65">
        <f t="shared" si="4"/>
        <v>0</v>
      </c>
      <c r="E21" s="68">
        <f t="shared" si="5"/>
        <v>0</v>
      </c>
      <c r="F21" s="51"/>
      <c r="G21" s="4201"/>
      <c r="H21" s="40" t="s">
        <v>27</v>
      </c>
      <c r="I21" s="43">
        <f>IF($B$8=12,B21,IF($B$8=4,0,IF($B$8=6,B16,IF($B$8=3,0,0))))</f>
        <v>0</v>
      </c>
      <c r="J21" s="43">
        <f>IF($B$8=12,C21,IF($B$8=4,0,IF($B$8=6,C16,IF($B$8=3,0,0))))</f>
        <v>0</v>
      </c>
      <c r="K21" s="68">
        <f>IF($B$8=12,D21,IF($B$8=4,0,IF($B$8=6,D16,IF($B$8=3,0,0))))</f>
        <v>0</v>
      </c>
      <c r="L21" s="51"/>
      <c r="M21" s="4201"/>
      <c r="N21" s="81" t="s">
        <v>27</v>
      </c>
      <c r="O21" s="43">
        <f t="shared" si="6"/>
        <v>0</v>
      </c>
      <c r="P21" s="43">
        <f t="shared" si="2"/>
        <v>0</v>
      </c>
      <c r="Q21" s="44">
        <f t="shared" si="2"/>
        <v>0</v>
      </c>
      <c r="R21" s="51"/>
    </row>
    <row r="22" spans="1:18" ht="16.5" thickBot="1">
      <c r="A22" s="24">
        <v>12</v>
      </c>
      <c r="B22" s="70">
        <f t="shared" si="1"/>
        <v>0</v>
      </c>
      <c r="C22" s="71">
        <f t="shared" si="3"/>
        <v>0</v>
      </c>
      <c r="D22" s="71">
        <f t="shared" si="4"/>
        <v>0</v>
      </c>
      <c r="E22" s="68">
        <f t="shared" si="5"/>
        <v>0</v>
      </c>
      <c r="F22" s="243">
        <f>SUM(D11:D22)</f>
        <v>0</v>
      </c>
      <c r="G22" s="4202"/>
      <c r="H22" s="73" t="s">
        <v>28</v>
      </c>
      <c r="I22" s="70">
        <f>IF($B$8=12,B22,IF($B$8=4,0,IF($B$8=6,0,IF($B$8=3,0,0))))</f>
        <v>0</v>
      </c>
      <c r="J22" s="70">
        <f>IF($B$8=12,C22,IF($B$8=4,0,IF($B$8=6,0,IF($B$8=3,0,0))))</f>
        <v>0</v>
      </c>
      <c r="K22" s="72">
        <f>IF($B$8=12,D22,IF($B$8=4,0,IF($B$8=6,0,IF($B$8=3,0,0))))</f>
        <v>0</v>
      </c>
      <c r="L22" s="51"/>
      <c r="M22" s="4202"/>
      <c r="N22" s="86" t="s">
        <v>28</v>
      </c>
      <c r="O22" s="45">
        <f t="shared" si="6"/>
        <v>0</v>
      </c>
      <c r="P22" s="45">
        <f t="shared" si="2"/>
        <v>0</v>
      </c>
      <c r="Q22" s="46">
        <f t="shared" si="2"/>
        <v>0</v>
      </c>
      <c r="R22" s="51"/>
    </row>
    <row r="23" spans="1:18" ht="15.75">
      <c r="A23" s="23">
        <v>13</v>
      </c>
      <c r="B23" s="43">
        <f t="shared" si="1"/>
        <v>0</v>
      </c>
      <c r="C23" s="65">
        <f t="shared" si="3"/>
        <v>0</v>
      </c>
      <c r="D23" s="65">
        <f t="shared" si="4"/>
        <v>0</v>
      </c>
      <c r="E23" s="109">
        <f t="shared" si="5"/>
        <v>0</v>
      </c>
      <c r="F23" s="51"/>
      <c r="G23" s="4200">
        <f>G11+1</f>
        <v>1</v>
      </c>
      <c r="H23" s="40" t="s">
        <v>17</v>
      </c>
      <c r="I23" s="43">
        <f>IF($B$8=12,B23,IF($B$8=4,B15,IF($B$8=6,B17,IF($B$8=3,B14,IF($B$8=2,B13,IF($B$8,B12,0))))))</f>
        <v>0</v>
      </c>
      <c r="J23" s="43">
        <f>IF($B$8=12,C23,IF($B$8=4,C15,IF($B$8=6,C17,IF($B$8=3,C14,IF($B$8=2,C13,IF($B$8,C12,0))))))</f>
        <v>0</v>
      </c>
      <c r="K23" s="44">
        <f>IF($B$8=12,D23,IF($B$8=4,D15,IF($B$8=6,D17,IF($B$8=3,D14,IF($B$8=2,D13,IF($B$8,D12,0))))))</f>
        <v>0</v>
      </c>
      <c r="L23" s="51"/>
      <c r="M23" s="4200">
        <f>'1.Datos Básicos. Product-Serv'!$B$7+1</f>
        <v>1</v>
      </c>
      <c r="N23" s="81" t="s">
        <v>17</v>
      </c>
      <c r="O23" s="43">
        <f>IF($I$6=2,I11,IF($I$6=1,I23,0))</f>
        <v>0</v>
      </c>
      <c r="P23" s="43">
        <f t="shared" ref="P23:Q34" si="7">IF($I$6=2,J11,IF($I$6=1,J23,0))</f>
        <v>0</v>
      </c>
      <c r="Q23" s="44">
        <f t="shared" si="7"/>
        <v>0</v>
      </c>
      <c r="R23" s="51"/>
    </row>
    <row r="24" spans="1:18" ht="15.75">
      <c r="A24" s="23">
        <v>14</v>
      </c>
      <c r="B24" s="43">
        <f t="shared" si="1"/>
        <v>0</v>
      </c>
      <c r="C24" s="65">
        <f t="shared" si="3"/>
        <v>0</v>
      </c>
      <c r="D24" s="65">
        <f t="shared" si="4"/>
        <v>0</v>
      </c>
      <c r="E24" s="68">
        <f t="shared" si="5"/>
        <v>0</v>
      </c>
      <c r="F24" s="51"/>
      <c r="G24" s="4201"/>
      <c r="H24" s="40" t="s">
        <v>18</v>
      </c>
      <c r="I24" s="43">
        <f>IF($B$8=12,B24,0)</f>
        <v>0</v>
      </c>
      <c r="J24" s="43">
        <f>IF($B$8=12,C24,0)</f>
        <v>0</v>
      </c>
      <c r="K24" s="44">
        <f>IF($B$8=12,D24,0)</f>
        <v>0</v>
      </c>
      <c r="L24" s="51"/>
      <c r="M24" s="4201"/>
      <c r="N24" s="81" t="s">
        <v>18</v>
      </c>
      <c r="O24" s="43">
        <f t="shared" ref="O24:O34" si="8">IF($I$6=2,I12,IF($I$6=1,I24,0))</f>
        <v>0</v>
      </c>
      <c r="P24" s="43">
        <f t="shared" si="7"/>
        <v>0</v>
      </c>
      <c r="Q24" s="44">
        <f t="shared" si="7"/>
        <v>0</v>
      </c>
      <c r="R24" s="51"/>
    </row>
    <row r="25" spans="1:18" ht="15.75">
      <c r="A25" s="23">
        <v>15</v>
      </c>
      <c r="B25" s="43">
        <f t="shared" si="1"/>
        <v>0</v>
      </c>
      <c r="C25" s="65">
        <f t="shared" si="3"/>
        <v>0</v>
      </c>
      <c r="D25" s="65">
        <f t="shared" si="4"/>
        <v>0</v>
      </c>
      <c r="E25" s="68">
        <f t="shared" si="5"/>
        <v>0</v>
      </c>
      <c r="F25" s="51"/>
      <c r="G25" s="4201"/>
      <c r="H25" s="40" t="s">
        <v>19</v>
      </c>
      <c r="I25" s="43">
        <f>IF($B$8=12,B25,IF($B$8=6,B18,0))</f>
        <v>0</v>
      </c>
      <c r="J25" s="43">
        <f>IF($B$8=12,C25,IF($B$8=6,C18,0))</f>
        <v>0</v>
      </c>
      <c r="K25" s="44">
        <f>IF($B$8=12,D25,IF($B$8=6,D18,0))</f>
        <v>0</v>
      </c>
      <c r="L25" s="51"/>
      <c r="M25" s="4201"/>
      <c r="N25" s="81" t="s">
        <v>19</v>
      </c>
      <c r="O25" s="43">
        <f t="shared" si="8"/>
        <v>0</v>
      </c>
      <c r="P25" s="43">
        <f t="shared" si="7"/>
        <v>0</v>
      </c>
      <c r="Q25" s="44">
        <f t="shared" si="7"/>
        <v>0</v>
      </c>
      <c r="R25" s="51"/>
    </row>
    <row r="26" spans="1:18" ht="15.75">
      <c r="A26" s="23">
        <v>16</v>
      </c>
      <c r="B26" s="43">
        <f t="shared" si="1"/>
        <v>0</v>
      </c>
      <c r="C26" s="65">
        <f t="shared" si="3"/>
        <v>0</v>
      </c>
      <c r="D26" s="65">
        <f t="shared" si="4"/>
        <v>0</v>
      </c>
      <c r="E26" s="68">
        <f t="shared" si="5"/>
        <v>0</v>
      </c>
      <c r="F26" s="51"/>
      <c r="G26" s="4201"/>
      <c r="H26" s="40" t="s">
        <v>20</v>
      </c>
      <c r="I26" s="43">
        <f>IF($B$8=12,B26,IF($B$8=4,B16,IF($B$8=6,0,IF($B$8=3,0,0))))</f>
        <v>0</v>
      </c>
      <c r="J26" s="43">
        <f>IF($B$8=12,C26,IF($B$8=4,C16,IF($B$8=6,0,IF($B$8=3,0,0))))</f>
        <v>0</v>
      </c>
      <c r="K26" s="44">
        <f>IF($B$8=12,D26,IF($B$8=4,D16,IF($B$8=6,0,IF($B$8=3,0,0))))</f>
        <v>0</v>
      </c>
      <c r="L26" s="51"/>
      <c r="M26" s="4201"/>
      <c r="N26" s="81" t="s">
        <v>20</v>
      </c>
      <c r="O26" s="43">
        <f t="shared" si="8"/>
        <v>0</v>
      </c>
      <c r="P26" s="43">
        <f t="shared" si="7"/>
        <v>0</v>
      </c>
      <c r="Q26" s="44">
        <f t="shared" si="7"/>
        <v>0</v>
      </c>
      <c r="R26" s="51"/>
    </row>
    <row r="27" spans="1:18" ht="15.75">
      <c r="A27" s="23">
        <v>17</v>
      </c>
      <c r="B27" s="43">
        <f t="shared" si="1"/>
        <v>0</v>
      </c>
      <c r="C27" s="65">
        <f t="shared" si="3"/>
        <v>0</v>
      </c>
      <c r="D27" s="65">
        <f t="shared" si="4"/>
        <v>0</v>
      </c>
      <c r="E27" s="68">
        <f t="shared" si="5"/>
        <v>0</v>
      </c>
      <c r="F27" s="51"/>
      <c r="G27" s="4201"/>
      <c r="H27" s="40" t="s">
        <v>21</v>
      </c>
      <c r="I27" s="43">
        <f>IF($B$8=12,B27,IF($B$8=4,0,IF($B$8=6,B19,IF($B$8=3,B15,0))))</f>
        <v>0</v>
      </c>
      <c r="J27" s="43">
        <f>IF($B$8=12,C27,IF($B$8=4,0,IF($B$8=6,C19,IF($B$8=3,C15,0))))</f>
        <v>0</v>
      </c>
      <c r="K27" s="44">
        <f>IF($B$8=12,D27,IF($B$8=4,0,IF($B$8=6,D19,IF($B$8=3,D15,0))))</f>
        <v>0</v>
      </c>
      <c r="L27" s="51"/>
      <c r="M27" s="4201"/>
      <c r="N27" s="81" t="s">
        <v>21</v>
      </c>
      <c r="O27" s="43">
        <f t="shared" si="8"/>
        <v>0</v>
      </c>
      <c r="P27" s="43">
        <f t="shared" si="7"/>
        <v>0</v>
      </c>
      <c r="Q27" s="44">
        <f t="shared" si="7"/>
        <v>0</v>
      </c>
      <c r="R27" s="51"/>
    </row>
    <row r="28" spans="1:18" ht="15.75">
      <c r="A28" s="23">
        <v>18</v>
      </c>
      <c r="B28" s="43">
        <f t="shared" si="1"/>
        <v>0</v>
      </c>
      <c r="C28" s="65">
        <f t="shared" si="3"/>
        <v>0</v>
      </c>
      <c r="D28" s="65">
        <f t="shared" si="4"/>
        <v>0</v>
      </c>
      <c r="E28" s="68">
        <f t="shared" si="5"/>
        <v>0</v>
      </c>
      <c r="F28" s="51"/>
      <c r="G28" s="4201"/>
      <c r="H28" s="40" t="s">
        <v>22</v>
      </c>
      <c r="I28" s="43">
        <f>IF($B$8=12,B28,IF($B$8=4,0,IF($B$8=6,0,IF($B$8=3,0,0))))</f>
        <v>0</v>
      </c>
      <c r="J28" s="43">
        <f>IF($B$8=12,C28,IF($B$8=4,0,IF($B$8=6,0,IF($B$8=3,0,0))))</f>
        <v>0</v>
      </c>
      <c r="K28" s="44">
        <f>IF($B$8=12,D28,IF($B$8=4,0,IF($B$8=6,0,IF($B$8=3,0,0))))</f>
        <v>0</v>
      </c>
      <c r="L28" s="51"/>
      <c r="M28" s="4201"/>
      <c r="N28" s="81" t="s">
        <v>22</v>
      </c>
      <c r="O28" s="43">
        <f t="shared" si="8"/>
        <v>0</v>
      </c>
      <c r="P28" s="43">
        <f t="shared" si="7"/>
        <v>0</v>
      </c>
      <c r="Q28" s="44">
        <f t="shared" si="7"/>
        <v>0</v>
      </c>
      <c r="R28" s="51"/>
    </row>
    <row r="29" spans="1:18" ht="15.75">
      <c r="A29" s="23">
        <v>19</v>
      </c>
      <c r="B29" s="43">
        <f t="shared" si="1"/>
        <v>0</v>
      </c>
      <c r="C29" s="65">
        <f t="shared" si="3"/>
        <v>0</v>
      </c>
      <c r="D29" s="65">
        <f t="shared" si="4"/>
        <v>0</v>
      </c>
      <c r="E29" s="68">
        <f t="shared" si="5"/>
        <v>0</v>
      </c>
      <c r="F29" s="51"/>
      <c r="G29" s="4201"/>
      <c r="H29" s="40" t="s">
        <v>23</v>
      </c>
      <c r="I29" s="43">
        <f>IF($B$8=12,B29,IF($B$8=4,B17,IF($B$8=6,B20,IF($B$8=3,0,IF($B$8=2,B14,0)))))</f>
        <v>0</v>
      </c>
      <c r="J29" s="43">
        <f>IF($B$8=12,C29,IF($B$8=4,C17,IF($B$8=6,C20,IF($B$8=3,0,IF($B$8=2,C14,0)))))</f>
        <v>0</v>
      </c>
      <c r="K29" s="44">
        <f>IF($B$8=12,D29,IF($B$8=4,D17,IF($B$8=6,D20,IF($B$8=3,0,IF($B$8=2,D14,0)))))</f>
        <v>0</v>
      </c>
      <c r="L29" s="51"/>
      <c r="M29" s="4201"/>
      <c r="N29" s="81" t="s">
        <v>23</v>
      </c>
      <c r="O29" s="43">
        <f t="shared" si="8"/>
        <v>0</v>
      </c>
      <c r="P29" s="43">
        <f t="shared" si="7"/>
        <v>0</v>
      </c>
      <c r="Q29" s="44">
        <f t="shared" si="7"/>
        <v>0</v>
      </c>
      <c r="R29" s="51"/>
    </row>
    <row r="30" spans="1:18" ht="15.75">
      <c r="A30" s="23">
        <v>20</v>
      </c>
      <c r="B30" s="43">
        <f t="shared" si="1"/>
        <v>0</v>
      </c>
      <c r="C30" s="65">
        <f t="shared" si="3"/>
        <v>0</v>
      </c>
      <c r="D30" s="65">
        <f t="shared" si="4"/>
        <v>0</v>
      </c>
      <c r="E30" s="68">
        <f t="shared" si="5"/>
        <v>0</v>
      </c>
      <c r="F30" s="51"/>
      <c r="G30" s="4201"/>
      <c r="H30" s="40" t="s">
        <v>24</v>
      </c>
      <c r="I30" s="43">
        <f>IF($B$8=12,B30,IF($B$8=4,0,IF($B$8=6,0,IF($B$8=3,0,0))))</f>
        <v>0</v>
      </c>
      <c r="J30" s="43">
        <f>IF($B$8=12,C30,IF($B$8=4,0,IF($B$8=6,0,IF($B$8=3,0,0))))</f>
        <v>0</v>
      </c>
      <c r="K30" s="44">
        <f>IF($B$8=12,D30,IF($B$8=4,0,IF($B$8=6,0,IF($B$8=3,0,0))))</f>
        <v>0</v>
      </c>
      <c r="L30" s="51"/>
      <c r="M30" s="4201"/>
      <c r="N30" s="81" t="s">
        <v>24</v>
      </c>
      <c r="O30" s="43">
        <f t="shared" si="8"/>
        <v>0</v>
      </c>
      <c r="P30" s="43">
        <f t="shared" si="7"/>
        <v>0</v>
      </c>
      <c r="Q30" s="44">
        <f t="shared" si="7"/>
        <v>0</v>
      </c>
      <c r="R30" s="51"/>
    </row>
    <row r="31" spans="1:18" ht="15.75">
      <c r="A31" s="23">
        <v>21</v>
      </c>
      <c r="B31" s="43">
        <f t="shared" si="1"/>
        <v>0</v>
      </c>
      <c r="C31" s="65">
        <f t="shared" si="3"/>
        <v>0</v>
      </c>
      <c r="D31" s="65">
        <f t="shared" si="4"/>
        <v>0</v>
      </c>
      <c r="E31" s="68">
        <f t="shared" si="5"/>
        <v>0</v>
      </c>
      <c r="F31" s="51"/>
      <c r="G31" s="4201"/>
      <c r="H31" s="40" t="s">
        <v>25</v>
      </c>
      <c r="I31" s="43">
        <f>IF($B$8=12,B31,IF($B$8=4,0,IF($B$8=6,B21,IF($B$8=3,B16,0))))</f>
        <v>0</v>
      </c>
      <c r="J31" s="43">
        <f>IF($B$8=12,C31,IF($B$8=4,0,IF($B$8=6,C21,IF($B$8=3,C16,0))))</f>
        <v>0</v>
      </c>
      <c r="K31" s="44">
        <f>IF($B$8=12,D31,IF($B$8=4,0,IF($B$8=6,D21,IF($B$8=3,D16,0))))</f>
        <v>0</v>
      </c>
      <c r="L31" s="51"/>
      <c r="M31" s="4201"/>
      <c r="N31" s="81" t="s">
        <v>25</v>
      </c>
      <c r="O31" s="43">
        <f t="shared" si="8"/>
        <v>0</v>
      </c>
      <c r="P31" s="43">
        <f t="shared" si="7"/>
        <v>0</v>
      </c>
      <c r="Q31" s="44">
        <f t="shared" si="7"/>
        <v>0</v>
      </c>
      <c r="R31" s="51"/>
    </row>
    <row r="32" spans="1:18" ht="15.75">
      <c r="A32" s="23">
        <v>22</v>
      </c>
      <c r="B32" s="43">
        <f t="shared" si="1"/>
        <v>0</v>
      </c>
      <c r="C32" s="65">
        <f t="shared" si="3"/>
        <v>0</v>
      </c>
      <c r="D32" s="65">
        <f t="shared" si="4"/>
        <v>0</v>
      </c>
      <c r="E32" s="68">
        <f t="shared" si="5"/>
        <v>0</v>
      </c>
      <c r="F32" s="51"/>
      <c r="G32" s="4201"/>
      <c r="H32" s="40" t="s">
        <v>26</v>
      </c>
      <c r="I32" s="43">
        <f>IF($B$8=12,B32,IF($B$8=4,B18,IF($B$8=6,0,IF($B$8=3,0,0))))</f>
        <v>0</v>
      </c>
      <c r="J32" s="43">
        <f>IF($B$8=12,C32,IF($B$8=4,C18,IF($B$8=6,0,IF($B$8=3,0,0))))</f>
        <v>0</v>
      </c>
      <c r="K32" s="44">
        <f>IF($B$8=12,D32,IF($B$8=4,D18,IF($B$8=6,0,IF($B$8=3,0,0))))</f>
        <v>0</v>
      </c>
      <c r="L32" s="51"/>
      <c r="M32" s="4201"/>
      <c r="N32" s="81" t="s">
        <v>26</v>
      </c>
      <c r="O32" s="43">
        <f t="shared" si="8"/>
        <v>0</v>
      </c>
      <c r="P32" s="43">
        <f t="shared" si="7"/>
        <v>0</v>
      </c>
      <c r="Q32" s="44">
        <f t="shared" si="7"/>
        <v>0</v>
      </c>
      <c r="R32" s="51"/>
    </row>
    <row r="33" spans="1:18" ht="15.75">
      <c r="A33" s="23">
        <v>23</v>
      </c>
      <c r="B33" s="43">
        <f t="shared" si="1"/>
        <v>0</v>
      </c>
      <c r="C33" s="65">
        <f t="shared" si="3"/>
        <v>0</v>
      </c>
      <c r="D33" s="65">
        <f t="shared" si="4"/>
        <v>0</v>
      </c>
      <c r="E33" s="68">
        <f t="shared" si="5"/>
        <v>0</v>
      </c>
      <c r="F33" s="51"/>
      <c r="G33" s="4201"/>
      <c r="H33" s="40" t="s">
        <v>27</v>
      </c>
      <c r="I33" s="43">
        <f>IF($B$8=12,B33,IF($B$8=4,0,IF($B$8=6,B22,IF($B$8=3,0,0))))</f>
        <v>0</v>
      </c>
      <c r="J33" s="43">
        <f>IF($B$8=12,C33,IF($B$8=4,0,IF($B$8=6,C22,IF($B$8=3,0,0))))</f>
        <v>0</v>
      </c>
      <c r="K33" s="44">
        <f>IF($B$8=12,D33,IF($B$8=4,0,IF($B$8=6,D22,IF($B$8=3,0,0))))</f>
        <v>0</v>
      </c>
      <c r="L33" s="51"/>
      <c r="M33" s="4201"/>
      <c r="N33" s="81" t="s">
        <v>27</v>
      </c>
      <c r="O33" s="43">
        <f t="shared" si="8"/>
        <v>0</v>
      </c>
      <c r="P33" s="43">
        <f t="shared" si="7"/>
        <v>0</v>
      </c>
      <c r="Q33" s="44">
        <f t="shared" si="7"/>
        <v>0</v>
      </c>
      <c r="R33" s="51"/>
    </row>
    <row r="34" spans="1:18" ht="16.5" thickBot="1">
      <c r="A34" s="24">
        <v>24</v>
      </c>
      <c r="B34" s="70">
        <f t="shared" si="1"/>
        <v>0</v>
      </c>
      <c r="C34" s="71">
        <f t="shared" si="3"/>
        <v>0</v>
      </c>
      <c r="D34" s="71">
        <f t="shared" si="4"/>
        <v>0</v>
      </c>
      <c r="E34" s="68">
        <f t="shared" si="5"/>
        <v>0</v>
      </c>
      <c r="F34" s="243">
        <f>SUM(D23:D34)</f>
        <v>0</v>
      </c>
      <c r="G34" s="4202"/>
      <c r="H34" s="73" t="s">
        <v>28</v>
      </c>
      <c r="I34" s="70">
        <f>IF($B$8=12,B34,IF($B$8=4,0,IF($B$8=6,0,IF($B$8=3,0,0))))</f>
        <v>0</v>
      </c>
      <c r="J34" s="70">
        <f>IF($B$8=12,C34,IF($B$8=4,0,IF($B$8=6,0,IF($B$8=3,0,0))))</f>
        <v>0</v>
      </c>
      <c r="K34" s="75">
        <f>IF($B$8=12,D34,IF($B$8=4,0,IF($B$8=6,0,IF($B$8=3,0,0))))</f>
        <v>0</v>
      </c>
      <c r="L34" s="51"/>
      <c r="M34" s="4202"/>
      <c r="N34" s="86" t="s">
        <v>28</v>
      </c>
      <c r="O34" s="43">
        <f t="shared" si="8"/>
        <v>0</v>
      </c>
      <c r="P34" s="43">
        <f t="shared" si="7"/>
        <v>0</v>
      </c>
      <c r="Q34" s="46">
        <f t="shared" si="7"/>
        <v>0</v>
      </c>
      <c r="R34" s="51"/>
    </row>
    <row r="35" spans="1:18" ht="15.75">
      <c r="A35" s="23">
        <v>25</v>
      </c>
      <c r="B35" s="43">
        <f t="shared" si="1"/>
        <v>0</v>
      </c>
      <c r="C35" s="65">
        <f t="shared" si="3"/>
        <v>0</v>
      </c>
      <c r="D35" s="65">
        <f t="shared" si="4"/>
        <v>0</v>
      </c>
      <c r="E35" s="109">
        <f t="shared" si="5"/>
        <v>0</v>
      </c>
      <c r="F35" s="51"/>
      <c r="G35" s="4200">
        <f>G23+1</f>
        <v>2</v>
      </c>
      <c r="H35" s="40" t="s">
        <v>17</v>
      </c>
      <c r="I35" s="43">
        <f>IF($B$8=12,B35,IF($B$8=4,B19,IF($B$8=6,B23,IF($B$8=3,B17,IF($B$8=2,B15,IF($B$8=1,B13,0))))))</f>
        <v>0</v>
      </c>
      <c r="J35" s="43">
        <f>IF($B$8=12,C35,IF($B$8=4,C19,IF($B$8=6,C23,IF($B$8=3,C17,IF($B$8=2,C15,IF($B$8=1,C13,0))))))</f>
        <v>0</v>
      </c>
      <c r="K35" s="44">
        <f>IF($B$8=12,D35,IF($B$8=4,D19,IF($B$8=6,D23,IF($B$8=3,D17,IF($B$8=2,D15,IF($B$8=1,D13,0))))))</f>
        <v>0</v>
      </c>
      <c r="L35" s="51"/>
      <c r="M35" s="4200">
        <f>'1.Datos Básicos. Product-Serv'!$B$7+2</f>
        <v>2</v>
      </c>
      <c r="N35" s="81" t="s">
        <v>17</v>
      </c>
      <c r="O35" s="76">
        <f>IF($I$6=3,I11,IF($I$6=2,I23,IF($I$6=1,I35,0)))</f>
        <v>0</v>
      </c>
      <c r="P35" s="76">
        <f t="shared" ref="P35:Q46" si="9">IF($I$6=3,J11,IF($I$6=2,J23,IF($I$6=1,J35,0)))</f>
        <v>0</v>
      </c>
      <c r="Q35" s="77">
        <f t="shared" si="9"/>
        <v>0</v>
      </c>
      <c r="R35" s="51"/>
    </row>
    <row r="36" spans="1:18" ht="15.75">
      <c r="A36" s="23">
        <v>26</v>
      </c>
      <c r="B36" s="43">
        <f t="shared" si="1"/>
        <v>0</v>
      </c>
      <c r="C36" s="65">
        <f t="shared" si="3"/>
        <v>0</v>
      </c>
      <c r="D36" s="65">
        <f t="shared" si="4"/>
        <v>0</v>
      </c>
      <c r="E36" s="68">
        <f t="shared" si="5"/>
        <v>0</v>
      </c>
      <c r="F36" s="51"/>
      <c r="G36" s="4201"/>
      <c r="H36" s="40" t="s">
        <v>18</v>
      </c>
      <c r="I36" s="43">
        <f>IF($B$8=12,B36,0)</f>
        <v>0</v>
      </c>
      <c r="J36" s="43">
        <f>IF($B$8=12,C36,0)</f>
        <v>0</v>
      </c>
      <c r="K36" s="44">
        <f>IF($B$8=12,D36,0)</f>
        <v>0</v>
      </c>
      <c r="L36" s="51"/>
      <c r="M36" s="4201"/>
      <c r="N36" s="81" t="s">
        <v>18</v>
      </c>
      <c r="O36" s="43">
        <f t="shared" ref="O36:O46" si="10">IF($I$6=3,I12,IF($I$6=2,I24,IF($I$6=1,I36,0)))</f>
        <v>0</v>
      </c>
      <c r="P36" s="43">
        <f t="shared" si="9"/>
        <v>0</v>
      </c>
      <c r="Q36" s="44">
        <f t="shared" si="9"/>
        <v>0</v>
      </c>
      <c r="R36" s="51"/>
    </row>
    <row r="37" spans="1:18" ht="15.75">
      <c r="A37" s="23">
        <v>27</v>
      </c>
      <c r="B37" s="43">
        <f t="shared" si="1"/>
        <v>0</v>
      </c>
      <c r="C37" s="65">
        <f t="shared" si="3"/>
        <v>0</v>
      </c>
      <c r="D37" s="65">
        <f t="shared" si="4"/>
        <v>0</v>
      </c>
      <c r="E37" s="68">
        <f t="shared" si="5"/>
        <v>0</v>
      </c>
      <c r="F37" s="51"/>
      <c r="G37" s="4201"/>
      <c r="H37" s="40" t="s">
        <v>19</v>
      </c>
      <c r="I37" s="43">
        <f>IF($B$8=12,B37,IF($B$8=6,B24,0))</f>
        <v>0</v>
      </c>
      <c r="J37" s="43">
        <f>IF($B$8=12,C37,IF($B$8=6,C24,0))</f>
        <v>0</v>
      </c>
      <c r="K37" s="44">
        <f>IF($B$8=12,D37,IF($B$8=6,D24,0))</f>
        <v>0</v>
      </c>
      <c r="L37" s="51"/>
      <c r="M37" s="4201"/>
      <c r="N37" s="81" t="s">
        <v>19</v>
      </c>
      <c r="O37" s="43">
        <f t="shared" si="10"/>
        <v>0</v>
      </c>
      <c r="P37" s="43">
        <f t="shared" si="9"/>
        <v>0</v>
      </c>
      <c r="Q37" s="44">
        <f t="shared" si="9"/>
        <v>0</v>
      </c>
      <c r="R37" s="51"/>
    </row>
    <row r="38" spans="1:18" ht="15.75">
      <c r="A38" s="23">
        <v>28</v>
      </c>
      <c r="B38" s="43">
        <f t="shared" si="1"/>
        <v>0</v>
      </c>
      <c r="C38" s="65">
        <f t="shared" si="3"/>
        <v>0</v>
      </c>
      <c r="D38" s="65">
        <f t="shared" si="4"/>
        <v>0</v>
      </c>
      <c r="E38" s="68">
        <f t="shared" si="5"/>
        <v>0</v>
      </c>
      <c r="F38" s="51"/>
      <c r="G38" s="4201"/>
      <c r="H38" s="40" t="s">
        <v>20</v>
      </c>
      <c r="I38" s="43">
        <f>IF($B$8=12,B38,IF($B$8=4,B20,IF($B$8=6,0,IF($B$8=3,0,0))))</f>
        <v>0</v>
      </c>
      <c r="J38" s="43">
        <f>IF($B$8=12,C38,IF($B$8=4,C20,IF($B$8=6,0,IF($B$8=3,0,0))))</f>
        <v>0</v>
      </c>
      <c r="K38" s="44">
        <f>IF($B$8=12,D38,IF($B$8=4,D20,IF($B$8=6,0,IF($B$8=3,0,0))))</f>
        <v>0</v>
      </c>
      <c r="L38" s="51"/>
      <c r="M38" s="4201"/>
      <c r="N38" s="81" t="s">
        <v>20</v>
      </c>
      <c r="O38" s="43">
        <f t="shared" si="10"/>
        <v>0</v>
      </c>
      <c r="P38" s="43">
        <f t="shared" si="9"/>
        <v>0</v>
      </c>
      <c r="Q38" s="44">
        <f t="shared" si="9"/>
        <v>0</v>
      </c>
      <c r="R38" s="51"/>
    </row>
    <row r="39" spans="1:18" ht="15.75">
      <c r="A39" s="23">
        <v>29</v>
      </c>
      <c r="B39" s="43">
        <f t="shared" si="1"/>
        <v>0</v>
      </c>
      <c r="C39" s="65">
        <f t="shared" si="3"/>
        <v>0</v>
      </c>
      <c r="D39" s="65">
        <f t="shared" si="4"/>
        <v>0</v>
      </c>
      <c r="E39" s="68">
        <f t="shared" si="5"/>
        <v>0</v>
      </c>
      <c r="F39" s="51"/>
      <c r="G39" s="4201"/>
      <c r="H39" s="40" t="s">
        <v>21</v>
      </c>
      <c r="I39" s="43">
        <f>IF($B$8=12,B39,IF($B$8=4,0,IF($B$8=6,B25,IF($B$8=3,B18,0))))</f>
        <v>0</v>
      </c>
      <c r="J39" s="43">
        <f>IF($B$8=12,C39,IF($B$8=4,0,IF($B$8=6,C25,IF($B$8=3,C18,0))))</f>
        <v>0</v>
      </c>
      <c r="K39" s="44">
        <f>IF($B$8=12,D39,IF($B$8=4,0,IF($B$8=6,D25,IF($B$8=3,D18,0))))</f>
        <v>0</v>
      </c>
      <c r="L39" s="51"/>
      <c r="M39" s="4201"/>
      <c r="N39" s="81" t="s">
        <v>21</v>
      </c>
      <c r="O39" s="43">
        <f t="shared" si="10"/>
        <v>0</v>
      </c>
      <c r="P39" s="43">
        <f t="shared" si="9"/>
        <v>0</v>
      </c>
      <c r="Q39" s="44">
        <f t="shared" si="9"/>
        <v>0</v>
      </c>
      <c r="R39" s="51"/>
    </row>
    <row r="40" spans="1:18" ht="15.75">
      <c r="A40" s="23">
        <v>30</v>
      </c>
      <c r="B40" s="43">
        <f t="shared" si="1"/>
        <v>0</v>
      </c>
      <c r="C40" s="65">
        <f t="shared" si="3"/>
        <v>0</v>
      </c>
      <c r="D40" s="65">
        <f t="shared" si="4"/>
        <v>0</v>
      </c>
      <c r="E40" s="68">
        <f t="shared" si="5"/>
        <v>0</v>
      </c>
      <c r="F40" s="51"/>
      <c r="G40" s="4201"/>
      <c r="H40" s="40" t="s">
        <v>22</v>
      </c>
      <c r="I40" s="43">
        <f>IF($B$8=12,B40,IF($B$8=4,0,IF($B$8=6,0,IF($B$8=3,0,0))))</f>
        <v>0</v>
      </c>
      <c r="J40" s="43">
        <f>IF($B$8=12,C40,IF($B$8=4,0,IF($B$8=6,0,IF($B$8=3,0,0))))</f>
        <v>0</v>
      </c>
      <c r="K40" s="44">
        <f>IF($B$8=12,D40,IF($B$8=4,0,IF($B$8=6,0,IF($B$8=3,0,0))))</f>
        <v>0</v>
      </c>
      <c r="L40" s="51"/>
      <c r="M40" s="4201"/>
      <c r="N40" s="81" t="s">
        <v>22</v>
      </c>
      <c r="O40" s="43">
        <f t="shared" si="10"/>
        <v>0</v>
      </c>
      <c r="P40" s="43">
        <f t="shared" si="9"/>
        <v>0</v>
      </c>
      <c r="Q40" s="44">
        <f t="shared" si="9"/>
        <v>0</v>
      </c>
      <c r="R40" s="51"/>
    </row>
    <row r="41" spans="1:18" ht="15.75">
      <c r="A41" s="23">
        <v>31</v>
      </c>
      <c r="B41" s="43">
        <f t="shared" si="1"/>
        <v>0</v>
      </c>
      <c r="C41" s="65">
        <f t="shared" si="3"/>
        <v>0</v>
      </c>
      <c r="D41" s="65">
        <f t="shared" si="4"/>
        <v>0</v>
      </c>
      <c r="E41" s="68">
        <f t="shared" si="5"/>
        <v>0</v>
      </c>
      <c r="F41" s="51"/>
      <c r="G41" s="4201"/>
      <c r="H41" s="40" t="s">
        <v>23</v>
      </c>
      <c r="I41" s="43">
        <f>IF($B$8=12,B41,IF($B$8=4,B21,IF($B$8=6,B26,IF($B$8=3,0,IF($B$8=2,B16,0)))))</f>
        <v>0</v>
      </c>
      <c r="J41" s="43">
        <f>IF($B$8=12,C41,IF($B$8=4,C21,IF($B$8=6,C26,IF($B$8=3,0,IF($B$8=2,C16,0)))))</f>
        <v>0</v>
      </c>
      <c r="K41" s="44">
        <f>IF($B$8=12,D41,IF($B$8=4,D21,IF($B$8=6,D26,IF($B$8=3,0,IF($B$8=2,D16,0)))))</f>
        <v>0</v>
      </c>
      <c r="L41" s="51"/>
      <c r="M41" s="4201"/>
      <c r="N41" s="81" t="s">
        <v>23</v>
      </c>
      <c r="O41" s="43">
        <f t="shared" si="10"/>
        <v>0</v>
      </c>
      <c r="P41" s="43">
        <f t="shared" si="9"/>
        <v>0</v>
      </c>
      <c r="Q41" s="44">
        <f t="shared" si="9"/>
        <v>0</v>
      </c>
      <c r="R41" s="51"/>
    </row>
    <row r="42" spans="1:18" ht="15.75">
      <c r="A42" s="23">
        <v>32</v>
      </c>
      <c r="B42" s="43">
        <f t="shared" si="1"/>
        <v>0</v>
      </c>
      <c r="C42" s="65">
        <f t="shared" si="3"/>
        <v>0</v>
      </c>
      <c r="D42" s="65">
        <f t="shared" si="4"/>
        <v>0</v>
      </c>
      <c r="E42" s="68">
        <f t="shared" si="5"/>
        <v>0</v>
      </c>
      <c r="F42" s="51"/>
      <c r="G42" s="4201"/>
      <c r="H42" s="40" t="s">
        <v>24</v>
      </c>
      <c r="I42" s="43">
        <f>IF($B$8=12,B42,IF($B$8=4,0,IF($B$8=6,0,IF($B$8=3,0,0))))</f>
        <v>0</v>
      </c>
      <c r="J42" s="43">
        <f>IF($B$8=12,C42,IF($B$8=4,0,IF($B$8=6,0,IF($B$8=3,0,0))))</f>
        <v>0</v>
      </c>
      <c r="K42" s="44">
        <f>IF($B$8=12,D42,IF($B$8=4,0,IF($B$8=6,0,IF($B$8=3,0,0))))</f>
        <v>0</v>
      </c>
      <c r="L42" s="51"/>
      <c r="M42" s="4201"/>
      <c r="N42" s="81" t="s">
        <v>24</v>
      </c>
      <c r="O42" s="43">
        <f t="shared" si="10"/>
        <v>0</v>
      </c>
      <c r="P42" s="43">
        <f t="shared" si="9"/>
        <v>0</v>
      </c>
      <c r="Q42" s="44">
        <f t="shared" si="9"/>
        <v>0</v>
      </c>
      <c r="R42" s="51"/>
    </row>
    <row r="43" spans="1:18" ht="15.75">
      <c r="A43" s="23">
        <v>33</v>
      </c>
      <c r="B43" s="43">
        <f t="shared" si="1"/>
        <v>0</v>
      </c>
      <c r="C43" s="65">
        <f t="shared" si="3"/>
        <v>0</v>
      </c>
      <c r="D43" s="65">
        <f t="shared" si="4"/>
        <v>0</v>
      </c>
      <c r="E43" s="68">
        <f t="shared" si="5"/>
        <v>0</v>
      </c>
      <c r="F43" s="51"/>
      <c r="G43" s="4201"/>
      <c r="H43" s="40" t="s">
        <v>25</v>
      </c>
      <c r="I43" s="43">
        <f>IF($B$8=12,B43,IF($B$8=4,0,IF($B$8=6,B27,IF($B$8=3,B19,0))))</f>
        <v>0</v>
      </c>
      <c r="J43" s="43">
        <f>IF($B$8=12,C43,IF($B$8=4,0,IF($B$8=6,C27,IF($B$8=3,C19,0))))</f>
        <v>0</v>
      </c>
      <c r="K43" s="44">
        <f>IF($B$8=12,D43,IF($B$8=4,0,IF($B$8=6,D27,IF($B$8=3,D19,0))))</f>
        <v>0</v>
      </c>
      <c r="L43" s="51"/>
      <c r="M43" s="4201"/>
      <c r="N43" s="81" t="s">
        <v>25</v>
      </c>
      <c r="O43" s="43">
        <f t="shared" si="10"/>
        <v>0</v>
      </c>
      <c r="P43" s="43">
        <f t="shared" si="9"/>
        <v>0</v>
      </c>
      <c r="Q43" s="44">
        <f t="shared" si="9"/>
        <v>0</v>
      </c>
      <c r="R43" s="51"/>
    </row>
    <row r="44" spans="1:18" ht="15.75">
      <c r="A44" s="23">
        <v>34</v>
      </c>
      <c r="B44" s="43">
        <f t="shared" si="1"/>
        <v>0</v>
      </c>
      <c r="C44" s="65">
        <f t="shared" si="3"/>
        <v>0</v>
      </c>
      <c r="D44" s="65">
        <f t="shared" si="4"/>
        <v>0</v>
      </c>
      <c r="E44" s="68">
        <f t="shared" si="5"/>
        <v>0</v>
      </c>
      <c r="F44" s="51"/>
      <c r="G44" s="4201"/>
      <c r="H44" s="40" t="s">
        <v>26</v>
      </c>
      <c r="I44" s="43">
        <f>IF($B$8=12,B44,IF($B$8=4,B22,IF($B$8=6,0,IF($B$8=3,0,0))))</f>
        <v>0</v>
      </c>
      <c r="J44" s="43">
        <f>IF($B$8=12,C44,IF($B$8=4,C22,IF($B$8=6,0,IF($B$8=3,0,0))))</f>
        <v>0</v>
      </c>
      <c r="K44" s="44">
        <f>IF($B$8=12,D44,IF($B$8=4,D22,IF($B$8=6,0,IF($B$8=3,0,0))))</f>
        <v>0</v>
      </c>
      <c r="L44" s="51"/>
      <c r="M44" s="4201"/>
      <c r="N44" s="81" t="s">
        <v>26</v>
      </c>
      <c r="O44" s="43">
        <f t="shared" si="10"/>
        <v>0</v>
      </c>
      <c r="P44" s="43">
        <f t="shared" si="9"/>
        <v>0</v>
      </c>
      <c r="Q44" s="44">
        <f t="shared" si="9"/>
        <v>0</v>
      </c>
      <c r="R44" s="51"/>
    </row>
    <row r="45" spans="1:18" ht="15.75">
      <c r="A45" s="23">
        <v>35</v>
      </c>
      <c r="B45" s="43">
        <f t="shared" si="1"/>
        <v>0</v>
      </c>
      <c r="C45" s="65">
        <f t="shared" si="3"/>
        <v>0</v>
      </c>
      <c r="D45" s="65">
        <f t="shared" si="4"/>
        <v>0</v>
      </c>
      <c r="E45" s="68">
        <f t="shared" si="5"/>
        <v>0</v>
      </c>
      <c r="F45" s="51"/>
      <c r="G45" s="4201"/>
      <c r="H45" s="40" t="s">
        <v>27</v>
      </c>
      <c r="I45" s="43">
        <f>IF($B$8=12,B45,IF($B$8=4,0,IF($B$8=6,B28,IF($B$8=3,0,0))))</f>
        <v>0</v>
      </c>
      <c r="J45" s="43">
        <f>IF($B$8=12,C45,IF($B$8=4,0,IF($B$8=6,C28,IF($B$8=3,0,0))))</f>
        <v>0</v>
      </c>
      <c r="K45" s="44">
        <f>IF($B$8=12,D45,IF($B$8=4,0,IF($B$8=6,D28,IF($B$8=3,0,0))))</f>
        <v>0</v>
      </c>
      <c r="L45" s="51"/>
      <c r="M45" s="4201"/>
      <c r="N45" s="81" t="s">
        <v>27</v>
      </c>
      <c r="O45" s="43">
        <f t="shared" si="10"/>
        <v>0</v>
      </c>
      <c r="P45" s="43">
        <f t="shared" si="9"/>
        <v>0</v>
      </c>
      <c r="Q45" s="44">
        <f t="shared" si="9"/>
        <v>0</v>
      </c>
      <c r="R45" s="51"/>
    </row>
    <row r="46" spans="1:18" ht="16.5" thickBot="1">
      <c r="A46" s="24">
        <v>36</v>
      </c>
      <c r="B46" s="70">
        <f t="shared" si="1"/>
        <v>0</v>
      </c>
      <c r="C46" s="71">
        <f t="shared" si="3"/>
        <v>0</v>
      </c>
      <c r="D46" s="71">
        <f t="shared" si="4"/>
        <v>0</v>
      </c>
      <c r="E46" s="68">
        <f t="shared" si="5"/>
        <v>0</v>
      </c>
      <c r="F46" s="243">
        <f>SUM(D35:D46)</f>
        <v>0</v>
      </c>
      <c r="G46" s="4202"/>
      <c r="H46" s="73" t="s">
        <v>28</v>
      </c>
      <c r="I46" s="70">
        <f>IF($B$8=12,B46,IF($B$8=4,0,IF($B$8=6,0,IF($B$8=3,0,0))))</f>
        <v>0</v>
      </c>
      <c r="J46" s="70">
        <f>IF($B$8=12,C46,IF($B$8=4,0,IF($B$8=6,0,IF($B$8=3,0,0))))</f>
        <v>0</v>
      </c>
      <c r="K46" s="75">
        <f>IF($B$8=12,D46,IF($B$8=4,0,IF($B$8=6,0,IF($B$8=3,0,0))))</f>
        <v>0</v>
      </c>
      <c r="L46" s="51"/>
      <c r="M46" s="4202"/>
      <c r="N46" s="86" t="s">
        <v>28</v>
      </c>
      <c r="O46" s="45">
        <f t="shared" si="10"/>
        <v>0</v>
      </c>
      <c r="P46" s="45">
        <f t="shared" si="9"/>
        <v>0</v>
      </c>
      <c r="Q46" s="46">
        <f t="shared" si="9"/>
        <v>0</v>
      </c>
      <c r="R46" s="51"/>
    </row>
    <row r="47" spans="1:18" ht="15.75">
      <c r="A47" s="23">
        <v>37</v>
      </c>
      <c r="B47" s="43">
        <f t="shared" si="1"/>
        <v>0</v>
      </c>
      <c r="C47" s="65">
        <f t="shared" si="3"/>
        <v>0</v>
      </c>
      <c r="D47" s="65">
        <f t="shared" si="4"/>
        <v>0</v>
      </c>
      <c r="E47" s="109">
        <f t="shared" si="5"/>
        <v>0</v>
      </c>
      <c r="F47" s="51"/>
      <c r="G47" s="4200">
        <f>G35+1</f>
        <v>3</v>
      </c>
      <c r="H47" s="40" t="s">
        <v>17</v>
      </c>
      <c r="I47" s="43">
        <f>IF($B$8=12,B47,IF($B$8=4,B23,IF($B$8=6,B29,IF($B$8=3,B20,IF($B$8=2,B17,IF($B$8=1,B14,0))))))</f>
        <v>0</v>
      </c>
      <c r="J47" s="43">
        <f>IF($B$8=12,C47,IF($B$8=4,C23,IF($B$8=6,C29,IF($B$8=3,C20,IF($B$8=2,C17,IF($B$8=1,C14,0))))))</f>
        <v>0</v>
      </c>
      <c r="K47" s="44">
        <f>IF($B$8=12,D47,IF($B$8=4,D23,IF($B$8=6,D29,IF($B$8=3,D20,IF($B$8=2,D17,IF($B$8=1,D14,0))))))</f>
        <v>0</v>
      </c>
      <c r="L47" s="51"/>
      <c r="M47" s="4200">
        <f>'1.Datos Básicos. Product-Serv'!$B$7+3</f>
        <v>3</v>
      </c>
      <c r="N47" s="81" t="s">
        <v>17</v>
      </c>
      <c r="O47" s="76">
        <f>IF($I$6=4,I11,IF($I$6=3,I23,IF($I$6=2,I35,IF($I$6=1,I47,0))))</f>
        <v>0</v>
      </c>
      <c r="P47" s="76">
        <f t="shared" ref="P47:Q58" si="11">IF($I$6=4,J11,IF($I$6=3,J23,IF($I$6=2,J35,IF($I$6=1,J47,0))))</f>
        <v>0</v>
      </c>
      <c r="Q47" s="77">
        <f t="shared" si="11"/>
        <v>0</v>
      </c>
      <c r="R47" s="51"/>
    </row>
    <row r="48" spans="1:18" ht="15.75">
      <c r="A48" s="23">
        <v>38</v>
      </c>
      <c r="B48" s="43">
        <f t="shared" si="1"/>
        <v>0</v>
      </c>
      <c r="C48" s="65">
        <f t="shared" si="3"/>
        <v>0</v>
      </c>
      <c r="D48" s="65">
        <f t="shared" si="4"/>
        <v>0</v>
      </c>
      <c r="E48" s="68">
        <f t="shared" si="5"/>
        <v>0</v>
      </c>
      <c r="F48" s="51"/>
      <c r="G48" s="4201"/>
      <c r="H48" s="40" t="s">
        <v>18</v>
      </c>
      <c r="I48" s="43">
        <f>IF($B$8=12,B48,0)</f>
        <v>0</v>
      </c>
      <c r="J48" s="43">
        <f>IF($B$8=12,C48,0)</f>
        <v>0</v>
      </c>
      <c r="K48" s="44">
        <f>IF($B$8=12,D48,0)</f>
        <v>0</v>
      </c>
      <c r="L48" s="51"/>
      <c r="M48" s="4201"/>
      <c r="N48" s="81" t="s">
        <v>18</v>
      </c>
      <c r="O48" s="43">
        <f t="shared" ref="O48:O58" si="12">IF($I$6=4,I12,IF($I$6=3,I24,IF($I$6=2,I36,IF($I$6=1,I48,0))))</f>
        <v>0</v>
      </c>
      <c r="P48" s="43">
        <f t="shared" si="11"/>
        <v>0</v>
      </c>
      <c r="Q48" s="44">
        <f t="shared" si="11"/>
        <v>0</v>
      </c>
      <c r="R48" s="51"/>
    </row>
    <row r="49" spans="1:18" ht="15.75">
      <c r="A49" s="23">
        <v>39</v>
      </c>
      <c r="B49" s="43">
        <f t="shared" si="1"/>
        <v>0</v>
      </c>
      <c r="C49" s="65">
        <f t="shared" si="3"/>
        <v>0</v>
      </c>
      <c r="D49" s="65">
        <f t="shared" si="4"/>
        <v>0</v>
      </c>
      <c r="E49" s="68">
        <f t="shared" si="5"/>
        <v>0</v>
      </c>
      <c r="F49" s="51"/>
      <c r="G49" s="4201"/>
      <c r="H49" s="40" t="s">
        <v>19</v>
      </c>
      <c r="I49" s="43">
        <f>IF($B$8=12,B49,IF($B$8=6,B30,0))</f>
        <v>0</v>
      </c>
      <c r="J49" s="43">
        <f>IF($B$8=12,C49,IF($B$8=6,C30,0))</f>
        <v>0</v>
      </c>
      <c r="K49" s="44">
        <f>IF($B$8=12,D49,IF($B$8=6,D30,0))</f>
        <v>0</v>
      </c>
      <c r="L49" s="51"/>
      <c r="M49" s="4201"/>
      <c r="N49" s="81" t="s">
        <v>19</v>
      </c>
      <c r="O49" s="43">
        <f t="shared" si="12"/>
        <v>0</v>
      </c>
      <c r="P49" s="43">
        <f t="shared" si="11"/>
        <v>0</v>
      </c>
      <c r="Q49" s="44">
        <f t="shared" si="11"/>
        <v>0</v>
      </c>
      <c r="R49" s="51"/>
    </row>
    <row r="50" spans="1:18" ht="15.75">
      <c r="A50" s="23">
        <v>40</v>
      </c>
      <c r="B50" s="43">
        <f t="shared" si="1"/>
        <v>0</v>
      </c>
      <c r="C50" s="65">
        <f t="shared" si="3"/>
        <v>0</v>
      </c>
      <c r="D50" s="65">
        <f t="shared" si="4"/>
        <v>0</v>
      </c>
      <c r="E50" s="68">
        <f t="shared" si="5"/>
        <v>0</v>
      </c>
      <c r="F50" s="51"/>
      <c r="G50" s="4201"/>
      <c r="H50" s="40" t="s">
        <v>20</v>
      </c>
      <c r="I50" s="43">
        <f>IF($B$8=12,B50,IF($B$8=4,B24,IF($B$8=6,0,IF($B$8=3,0,0))))</f>
        <v>0</v>
      </c>
      <c r="J50" s="43">
        <f>IF($B$8=12,C50,IF($B$8=4,C24,IF($B$8=6,0,IF($B$8=3,0,0))))</f>
        <v>0</v>
      </c>
      <c r="K50" s="44">
        <f>IF($B$8=12,D50,IF($B$8=4,D24,IF($B$8=6,0,IF($B$8=3,0,0))))</f>
        <v>0</v>
      </c>
      <c r="L50" s="51"/>
      <c r="M50" s="4201"/>
      <c r="N50" s="81" t="s">
        <v>20</v>
      </c>
      <c r="O50" s="43">
        <f t="shared" si="12"/>
        <v>0</v>
      </c>
      <c r="P50" s="43">
        <f t="shared" si="11"/>
        <v>0</v>
      </c>
      <c r="Q50" s="44">
        <f t="shared" si="11"/>
        <v>0</v>
      </c>
      <c r="R50" s="51"/>
    </row>
    <row r="51" spans="1:18" ht="15.75">
      <c r="A51" s="23">
        <v>41</v>
      </c>
      <c r="B51" s="43">
        <f t="shared" si="1"/>
        <v>0</v>
      </c>
      <c r="C51" s="65">
        <f t="shared" si="3"/>
        <v>0</v>
      </c>
      <c r="D51" s="65">
        <f t="shared" si="4"/>
        <v>0</v>
      </c>
      <c r="E51" s="68">
        <f t="shared" si="5"/>
        <v>0</v>
      </c>
      <c r="F51" s="51"/>
      <c r="G51" s="4201"/>
      <c r="H51" s="40" t="s">
        <v>21</v>
      </c>
      <c r="I51" s="43">
        <f>IF($B$8=12,B51,IF($B$8=4,0,IF($B$8=6,B31,IF($B$8=3,B21,0))))</f>
        <v>0</v>
      </c>
      <c r="J51" s="43">
        <f>IF($B$8=12,C51,IF($B$8=4,0,IF($B$8=6,C31,IF($B$8=3,C21,0))))</f>
        <v>0</v>
      </c>
      <c r="K51" s="44">
        <f>IF($B$8=12,D51,IF($B$8=4,0,IF($B$8=6,D31,IF($B$8=3,D21,0))))</f>
        <v>0</v>
      </c>
      <c r="L51" s="51"/>
      <c r="M51" s="4201"/>
      <c r="N51" s="81" t="s">
        <v>21</v>
      </c>
      <c r="O51" s="43">
        <f t="shared" si="12"/>
        <v>0</v>
      </c>
      <c r="P51" s="43">
        <f t="shared" si="11"/>
        <v>0</v>
      </c>
      <c r="Q51" s="44">
        <f t="shared" si="11"/>
        <v>0</v>
      </c>
      <c r="R51" s="51"/>
    </row>
    <row r="52" spans="1:18" ht="15.75">
      <c r="A52" s="23">
        <v>42</v>
      </c>
      <c r="B52" s="43">
        <f t="shared" si="1"/>
        <v>0</v>
      </c>
      <c r="C52" s="65">
        <f t="shared" si="3"/>
        <v>0</v>
      </c>
      <c r="D52" s="65">
        <f t="shared" si="4"/>
        <v>0</v>
      </c>
      <c r="E52" s="68">
        <f t="shared" si="5"/>
        <v>0</v>
      </c>
      <c r="F52" s="51"/>
      <c r="G52" s="4201"/>
      <c r="H52" s="40" t="s">
        <v>22</v>
      </c>
      <c r="I52" s="43">
        <f>IF($B$8=12,B52,IF($B$8=4,0,IF($B$8=6,0,IF($B$8=3,0,0))))</f>
        <v>0</v>
      </c>
      <c r="J52" s="43">
        <f>IF($B$8=12,C52,IF($B$8=4,0,IF($B$8=6,0,IF($B$8=3,0,0))))</f>
        <v>0</v>
      </c>
      <c r="K52" s="44">
        <f>IF($B$8=12,D52,IF($B$8=4,0,IF($B$8=6,0,IF($B$8=3,0,0))))</f>
        <v>0</v>
      </c>
      <c r="L52" s="51"/>
      <c r="M52" s="4201"/>
      <c r="N52" s="81" t="s">
        <v>22</v>
      </c>
      <c r="O52" s="43">
        <f t="shared" si="12"/>
        <v>0</v>
      </c>
      <c r="P52" s="43">
        <f t="shared" si="11"/>
        <v>0</v>
      </c>
      <c r="Q52" s="44">
        <f t="shared" si="11"/>
        <v>0</v>
      </c>
      <c r="R52" s="51"/>
    </row>
    <row r="53" spans="1:18" ht="15.75">
      <c r="A53" s="23">
        <v>43</v>
      </c>
      <c r="B53" s="43">
        <f t="shared" si="1"/>
        <v>0</v>
      </c>
      <c r="C53" s="65">
        <f t="shared" si="3"/>
        <v>0</v>
      </c>
      <c r="D53" s="65">
        <f t="shared" si="4"/>
        <v>0</v>
      </c>
      <c r="E53" s="68">
        <f t="shared" si="5"/>
        <v>0</v>
      </c>
      <c r="F53" s="51"/>
      <c r="G53" s="4201"/>
      <c r="H53" s="40" t="s">
        <v>23</v>
      </c>
      <c r="I53" s="43">
        <f>IF($B$8=12,B53,IF($B$8=4,B25,IF($B$8=6,B32,IF($B$8=3,0,IF($B$8=2,B18,0)))))</f>
        <v>0</v>
      </c>
      <c r="J53" s="43">
        <f>IF($B$8=12,C53,IF($B$8=4,C25,IF($B$8=6,C32,IF($B$8=3,0,IF($B$8=2,C18,0)))))</f>
        <v>0</v>
      </c>
      <c r="K53" s="44">
        <f>IF($B$8=12,D53,IF($B$8=4,D25,IF($B$8=6,D32,IF($B$8=3,0,IF($B$8=2,D18,0)))))</f>
        <v>0</v>
      </c>
      <c r="L53" s="51"/>
      <c r="M53" s="4201"/>
      <c r="N53" s="81" t="s">
        <v>23</v>
      </c>
      <c r="O53" s="43">
        <f t="shared" si="12"/>
        <v>0</v>
      </c>
      <c r="P53" s="43">
        <f t="shared" si="11"/>
        <v>0</v>
      </c>
      <c r="Q53" s="44">
        <f t="shared" si="11"/>
        <v>0</v>
      </c>
      <c r="R53" s="51"/>
    </row>
    <row r="54" spans="1:18" ht="15.75">
      <c r="A54" s="23">
        <v>44</v>
      </c>
      <c r="B54" s="43">
        <f t="shared" si="1"/>
        <v>0</v>
      </c>
      <c r="C54" s="65">
        <f t="shared" si="3"/>
        <v>0</v>
      </c>
      <c r="D54" s="65">
        <f t="shared" si="4"/>
        <v>0</v>
      </c>
      <c r="E54" s="68">
        <f t="shared" si="5"/>
        <v>0</v>
      </c>
      <c r="F54" s="51"/>
      <c r="G54" s="4201"/>
      <c r="H54" s="40" t="s">
        <v>24</v>
      </c>
      <c r="I54" s="43">
        <f>IF($B$8=12,B54,IF($B$8=4,0,IF($B$8=6,0,IF($B$8=3,0,0))))</f>
        <v>0</v>
      </c>
      <c r="J54" s="43">
        <f>IF($B$8=12,C54,IF($B$8=4,0,IF($B$8=6,0,IF($B$8=3,0,0))))</f>
        <v>0</v>
      </c>
      <c r="K54" s="44">
        <f>IF($B$8=12,D54,IF($B$8=4,0,IF($B$8=6,0,IF($B$8=3,0,0))))</f>
        <v>0</v>
      </c>
      <c r="L54" s="51"/>
      <c r="M54" s="4201"/>
      <c r="N54" s="81" t="s">
        <v>24</v>
      </c>
      <c r="O54" s="43">
        <f t="shared" si="12"/>
        <v>0</v>
      </c>
      <c r="P54" s="43">
        <f t="shared" si="11"/>
        <v>0</v>
      </c>
      <c r="Q54" s="44">
        <f t="shared" si="11"/>
        <v>0</v>
      </c>
      <c r="R54" s="51"/>
    </row>
    <row r="55" spans="1:18" ht="15.75">
      <c r="A55" s="23">
        <v>45</v>
      </c>
      <c r="B55" s="43">
        <f t="shared" si="1"/>
        <v>0</v>
      </c>
      <c r="C55" s="65">
        <f t="shared" si="3"/>
        <v>0</v>
      </c>
      <c r="D55" s="65">
        <f t="shared" si="4"/>
        <v>0</v>
      </c>
      <c r="E55" s="68">
        <f t="shared" si="5"/>
        <v>0</v>
      </c>
      <c r="F55" s="51"/>
      <c r="G55" s="4201"/>
      <c r="H55" s="40" t="s">
        <v>25</v>
      </c>
      <c r="I55" s="43">
        <f>IF($B$8=12,B55,IF($B$8=4,0,IF($B$8=6,B33,IF($B$8=3,B22,0))))</f>
        <v>0</v>
      </c>
      <c r="J55" s="43">
        <f>IF($B$8=12,C55,IF($B$8=4,0,IF($B$8=6,C33,IF($B$8=3,C22,0))))</f>
        <v>0</v>
      </c>
      <c r="K55" s="44">
        <f>IF($B$8=12,D55,IF($B$8=4,0,IF($B$8=6,D33,IF($B$8=3,D22,0))))</f>
        <v>0</v>
      </c>
      <c r="L55" s="51"/>
      <c r="M55" s="4201"/>
      <c r="N55" s="81" t="s">
        <v>25</v>
      </c>
      <c r="O55" s="43">
        <f t="shared" si="12"/>
        <v>0</v>
      </c>
      <c r="P55" s="43">
        <f t="shared" si="11"/>
        <v>0</v>
      </c>
      <c r="Q55" s="44">
        <f t="shared" si="11"/>
        <v>0</v>
      </c>
      <c r="R55" s="51"/>
    </row>
    <row r="56" spans="1:18" ht="15.75">
      <c r="A56" s="23">
        <v>46</v>
      </c>
      <c r="B56" s="43">
        <f t="shared" si="1"/>
        <v>0</v>
      </c>
      <c r="C56" s="65">
        <f t="shared" si="3"/>
        <v>0</v>
      </c>
      <c r="D56" s="65">
        <f t="shared" si="4"/>
        <v>0</v>
      </c>
      <c r="E56" s="68">
        <f t="shared" si="5"/>
        <v>0</v>
      </c>
      <c r="F56" s="51"/>
      <c r="G56" s="4201"/>
      <c r="H56" s="40" t="s">
        <v>26</v>
      </c>
      <c r="I56" s="43">
        <f>IF($B$8=12,B56,IF($B$8=4,B26,IF($B$8=6,0,IF($B$8=3,0,0))))</f>
        <v>0</v>
      </c>
      <c r="J56" s="43">
        <f>IF($B$8=12,C56,IF($B$8=4,C26,IF($B$8=6,0,IF($B$8=3,0,0))))</f>
        <v>0</v>
      </c>
      <c r="K56" s="44">
        <f>IF($B$8=12,D56,IF($B$8=4,D26,IF($B$8=6,0,IF($B$8=3,0,0))))</f>
        <v>0</v>
      </c>
      <c r="L56" s="51"/>
      <c r="M56" s="4201"/>
      <c r="N56" s="81" t="s">
        <v>26</v>
      </c>
      <c r="O56" s="43">
        <f t="shared" si="12"/>
        <v>0</v>
      </c>
      <c r="P56" s="43">
        <f t="shared" si="11"/>
        <v>0</v>
      </c>
      <c r="Q56" s="44">
        <f t="shared" si="11"/>
        <v>0</v>
      </c>
      <c r="R56" s="51"/>
    </row>
    <row r="57" spans="1:18" ht="15.75">
      <c r="A57" s="23">
        <v>47</v>
      </c>
      <c r="B57" s="43">
        <f t="shared" si="1"/>
        <v>0</v>
      </c>
      <c r="C57" s="65">
        <f t="shared" si="3"/>
        <v>0</v>
      </c>
      <c r="D57" s="65">
        <f t="shared" si="4"/>
        <v>0</v>
      </c>
      <c r="E57" s="68">
        <f t="shared" si="5"/>
        <v>0</v>
      </c>
      <c r="F57" s="51"/>
      <c r="G57" s="4201"/>
      <c r="H57" s="40" t="s">
        <v>27</v>
      </c>
      <c r="I57" s="43">
        <f>IF($B$8=12,B57,IF($B$8=4,0,IF($B$8=6,B34,IF($B$8=3,0,0))))</f>
        <v>0</v>
      </c>
      <c r="J57" s="43">
        <f>IF($B$8=12,C57,IF($B$8=4,0,IF($B$8=6,C34,IF($B$8=3,0,0))))</f>
        <v>0</v>
      </c>
      <c r="K57" s="44">
        <f>IF($B$8=12,D57,IF($B$8=4,0,IF($B$8=6,D34,IF($B$8=3,0,0))))</f>
        <v>0</v>
      </c>
      <c r="L57" s="51"/>
      <c r="M57" s="4201"/>
      <c r="N57" s="81" t="s">
        <v>27</v>
      </c>
      <c r="O57" s="43">
        <f t="shared" si="12"/>
        <v>0</v>
      </c>
      <c r="P57" s="43">
        <f t="shared" si="11"/>
        <v>0</v>
      </c>
      <c r="Q57" s="44">
        <f t="shared" si="11"/>
        <v>0</v>
      </c>
      <c r="R57" s="51"/>
    </row>
    <row r="58" spans="1:18" ht="16.5" thickBot="1">
      <c r="A58" s="24">
        <v>48</v>
      </c>
      <c r="B58" s="70">
        <f t="shared" si="1"/>
        <v>0</v>
      </c>
      <c r="C58" s="71">
        <f t="shared" si="3"/>
        <v>0</v>
      </c>
      <c r="D58" s="71">
        <f t="shared" si="4"/>
        <v>0</v>
      </c>
      <c r="E58" s="68">
        <f t="shared" si="5"/>
        <v>0</v>
      </c>
      <c r="F58" s="243">
        <f>SUM(D47:D58)</f>
        <v>0</v>
      </c>
      <c r="G58" s="4202"/>
      <c r="H58" s="73" t="s">
        <v>28</v>
      </c>
      <c r="I58" s="70">
        <f>IF($B$8=12,B58,IF($B$8=4,0,IF($B$8=6,0,IF($B$8=3,0,0))))</f>
        <v>0</v>
      </c>
      <c r="J58" s="70">
        <f>IF($B$8=12,C58,IF($B$8=4,0,IF($B$8=6,0,IF($B$8=3,0,0))))</f>
        <v>0</v>
      </c>
      <c r="K58" s="75">
        <f>IF($B$8=12,D58,IF($B$8=4,0,IF($B$8=6,0,IF($B$8=3,0,0))))</f>
        <v>0</v>
      </c>
      <c r="L58" s="51"/>
      <c r="M58" s="4202"/>
      <c r="N58" s="86" t="s">
        <v>28</v>
      </c>
      <c r="O58" s="45">
        <f t="shared" si="12"/>
        <v>0</v>
      </c>
      <c r="P58" s="45">
        <f t="shared" si="11"/>
        <v>0</v>
      </c>
      <c r="Q58" s="46">
        <f t="shared" si="11"/>
        <v>0</v>
      </c>
      <c r="R58" s="51"/>
    </row>
    <row r="59" spans="1:18" ht="15.75">
      <c r="A59" s="23">
        <v>49</v>
      </c>
      <c r="B59" s="43">
        <f t="shared" si="1"/>
        <v>0</v>
      </c>
      <c r="C59" s="65">
        <f t="shared" si="3"/>
        <v>0</v>
      </c>
      <c r="D59" s="65">
        <f t="shared" si="4"/>
        <v>0</v>
      </c>
      <c r="E59" s="109">
        <f t="shared" si="5"/>
        <v>0</v>
      </c>
      <c r="F59" s="51"/>
      <c r="G59" s="4200">
        <f>G47+1</f>
        <v>4</v>
      </c>
      <c r="H59" s="40" t="s">
        <v>17</v>
      </c>
      <c r="I59" s="43">
        <f>IF($B$8=12,B59,IF($B$8=4,B27,IF($B$8=6,B35,IF($B$8=3,B23,IF($B$8=2,B19,IF($B$8=1,B15,0))))))</f>
        <v>0</v>
      </c>
      <c r="J59" s="43">
        <f>IF($B$8=12,C59,IF($B$8=4,C27,IF($B$8=6,C35,IF($B$8=3,C23,IF($B$8=2,C19,IF($B$8=1,C15,0))))))</f>
        <v>0</v>
      </c>
      <c r="K59" s="44">
        <f>IF($B$8=12,D59,IF($B$8=4,D27,IF($B$8=6,D35,IF($B$8=3,D23,IF($B$8=2,D19,IF($B$8=1,D15,0))))))</f>
        <v>0</v>
      </c>
      <c r="L59" s="51"/>
      <c r="M59" s="4200">
        <f>'1.Datos Básicos. Product-Serv'!$B$7+4</f>
        <v>4</v>
      </c>
      <c r="N59" s="81" t="s">
        <v>17</v>
      </c>
      <c r="O59" s="76">
        <f>IF($I$6=5,I11,IF($I$6=4,I23,IF($I$6=3,I35,IF($I$6=2,I47,IF($I$6=1,I59,0)))))</f>
        <v>0</v>
      </c>
      <c r="P59" s="76">
        <f t="shared" ref="P59:Q70" si="13">IF($I$6=5,J11,IF($I$6=4,J23,IF($I$6=3,J35,IF($I$6=2,J47,IF($I$6=1,J59,0)))))</f>
        <v>0</v>
      </c>
      <c r="Q59" s="77">
        <f t="shared" si="13"/>
        <v>0</v>
      </c>
      <c r="R59" s="51"/>
    </row>
    <row r="60" spans="1:18" ht="15.75">
      <c r="A60" s="23">
        <v>50</v>
      </c>
      <c r="B60" s="43">
        <f t="shared" si="1"/>
        <v>0</v>
      </c>
      <c r="C60" s="65">
        <f t="shared" si="3"/>
        <v>0</v>
      </c>
      <c r="D60" s="65">
        <f t="shared" si="4"/>
        <v>0</v>
      </c>
      <c r="E60" s="68">
        <f t="shared" si="5"/>
        <v>0</v>
      </c>
      <c r="F60" s="51"/>
      <c r="G60" s="4201"/>
      <c r="H60" s="40" t="s">
        <v>18</v>
      </c>
      <c r="I60" s="43">
        <f>IF($B$8=12,B60,0)</f>
        <v>0</v>
      </c>
      <c r="J60" s="43">
        <f>IF($B$8=12,C60,0)</f>
        <v>0</v>
      </c>
      <c r="K60" s="44">
        <f>IF($B$8=12,D60,0)</f>
        <v>0</v>
      </c>
      <c r="L60" s="51"/>
      <c r="M60" s="4201"/>
      <c r="N60" s="81" t="s">
        <v>18</v>
      </c>
      <c r="O60" s="43">
        <f t="shared" ref="O60:O70" si="14">IF($I$6=5,I12,IF($I$6=4,I24,IF($I$6=3,I36,IF($I$6=2,I48,IF($I$6=1,I60,0)))))</f>
        <v>0</v>
      </c>
      <c r="P60" s="43">
        <f t="shared" si="13"/>
        <v>0</v>
      </c>
      <c r="Q60" s="44">
        <f t="shared" si="13"/>
        <v>0</v>
      </c>
      <c r="R60" s="51"/>
    </row>
    <row r="61" spans="1:18" ht="15.75">
      <c r="A61" s="23">
        <v>51</v>
      </c>
      <c r="B61" s="43">
        <f t="shared" si="1"/>
        <v>0</v>
      </c>
      <c r="C61" s="65">
        <f t="shared" si="3"/>
        <v>0</v>
      </c>
      <c r="D61" s="65">
        <f t="shared" si="4"/>
        <v>0</v>
      </c>
      <c r="E61" s="68">
        <f t="shared" si="5"/>
        <v>0</v>
      </c>
      <c r="F61" s="51"/>
      <c r="G61" s="4201"/>
      <c r="H61" s="40" t="s">
        <v>19</v>
      </c>
      <c r="I61" s="43">
        <f>IF($B$8=12,B61,IF($B$8=6,B36,0))</f>
        <v>0</v>
      </c>
      <c r="J61" s="43">
        <f>IF($B$8=12,C61,IF($B$8=6,C36,0))</f>
        <v>0</v>
      </c>
      <c r="K61" s="44">
        <f>IF($B$8=12,D61,IF($B$8=6,D36,0))</f>
        <v>0</v>
      </c>
      <c r="L61" s="51"/>
      <c r="M61" s="4201"/>
      <c r="N61" s="81" t="s">
        <v>19</v>
      </c>
      <c r="O61" s="43">
        <f t="shared" si="14"/>
        <v>0</v>
      </c>
      <c r="P61" s="43">
        <f t="shared" si="13"/>
        <v>0</v>
      </c>
      <c r="Q61" s="44">
        <f t="shared" si="13"/>
        <v>0</v>
      </c>
      <c r="R61" s="51"/>
    </row>
    <row r="62" spans="1:18" ht="15.75">
      <c r="A62" s="23">
        <v>52</v>
      </c>
      <c r="B62" s="43">
        <f t="shared" si="1"/>
        <v>0</v>
      </c>
      <c r="C62" s="65">
        <f t="shared" si="3"/>
        <v>0</v>
      </c>
      <c r="D62" s="65">
        <f t="shared" si="4"/>
        <v>0</v>
      </c>
      <c r="E62" s="68">
        <f t="shared" si="5"/>
        <v>0</v>
      </c>
      <c r="F62" s="51"/>
      <c r="G62" s="4201"/>
      <c r="H62" s="40" t="s">
        <v>20</v>
      </c>
      <c r="I62" s="43">
        <f>IF($B$8=12,B62,IF($B$8=4,B28,IF($B$8=6,0,IF($B$8=3,0,0))))</f>
        <v>0</v>
      </c>
      <c r="J62" s="43">
        <f>IF($B$8=12,C62,IF($B$8=4,C28,IF($B$8=6,0,IF($B$8=3,0,0))))</f>
        <v>0</v>
      </c>
      <c r="K62" s="44">
        <f>IF($B$8=12,D62,IF($B$8=4,D28,IF($B$8=6,0,IF($B$8=3,0,0))))</f>
        <v>0</v>
      </c>
      <c r="L62" s="51"/>
      <c r="M62" s="4201"/>
      <c r="N62" s="81" t="s">
        <v>20</v>
      </c>
      <c r="O62" s="43">
        <f t="shared" si="14"/>
        <v>0</v>
      </c>
      <c r="P62" s="43">
        <f t="shared" si="13"/>
        <v>0</v>
      </c>
      <c r="Q62" s="44">
        <f t="shared" si="13"/>
        <v>0</v>
      </c>
      <c r="R62" s="51"/>
    </row>
    <row r="63" spans="1:18" ht="15.75">
      <c r="A63" s="23">
        <v>53</v>
      </c>
      <c r="B63" s="43">
        <f t="shared" si="1"/>
        <v>0</v>
      </c>
      <c r="C63" s="65">
        <f t="shared" si="3"/>
        <v>0</v>
      </c>
      <c r="D63" s="65">
        <f t="shared" si="4"/>
        <v>0</v>
      </c>
      <c r="E63" s="68">
        <f t="shared" si="5"/>
        <v>0</v>
      </c>
      <c r="F63" s="51"/>
      <c r="G63" s="4201"/>
      <c r="H63" s="40" t="s">
        <v>21</v>
      </c>
      <c r="I63" s="43">
        <f>IF($B$8=12,B63,IF($B$8=4,0,IF($B$8=6,B37,IF($B$8=3,B24,0))))</f>
        <v>0</v>
      </c>
      <c r="J63" s="43">
        <f>IF($B$8=12,C63,IF($B$8=4,0,IF($B$8=6,C37,IF($B$8=3,C24,0))))</f>
        <v>0</v>
      </c>
      <c r="K63" s="44">
        <f>IF($B$8=12,D63,IF($B$8=4,0,IF($B$8=6,D37,IF($B$8=3,D24,0))))</f>
        <v>0</v>
      </c>
      <c r="L63" s="51"/>
      <c r="M63" s="4201"/>
      <c r="N63" s="81" t="s">
        <v>21</v>
      </c>
      <c r="O63" s="43">
        <f t="shared" si="14"/>
        <v>0</v>
      </c>
      <c r="P63" s="43">
        <f t="shared" si="13"/>
        <v>0</v>
      </c>
      <c r="Q63" s="44">
        <f t="shared" si="13"/>
        <v>0</v>
      </c>
      <c r="R63" s="51"/>
    </row>
    <row r="64" spans="1:18" ht="15.75">
      <c r="A64" s="23">
        <v>54</v>
      </c>
      <c r="B64" s="43">
        <f t="shared" si="1"/>
        <v>0</v>
      </c>
      <c r="C64" s="65">
        <f t="shared" si="3"/>
        <v>0</v>
      </c>
      <c r="D64" s="65">
        <f t="shared" si="4"/>
        <v>0</v>
      </c>
      <c r="E64" s="68">
        <f t="shared" si="5"/>
        <v>0</v>
      </c>
      <c r="F64" s="51"/>
      <c r="G64" s="4201"/>
      <c r="H64" s="40" t="s">
        <v>22</v>
      </c>
      <c r="I64" s="43">
        <f>IF($B$8=12,B64,IF($B$8=4,0,IF($B$8=6,0,IF($B$8=3,0,0))))</f>
        <v>0</v>
      </c>
      <c r="J64" s="43">
        <f>IF($B$8=12,C64,IF($B$8=4,0,IF($B$8=6,0,IF($B$8=3,0,0))))</f>
        <v>0</v>
      </c>
      <c r="K64" s="44">
        <f>IF($B$8=12,D64,IF($B$8=4,0,IF($B$8=6,0,IF($B$8=3,0,0))))</f>
        <v>0</v>
      </c>
      <c r="L64" s="51"/>
      <c r="M64" s="4201"/>
      <c r="N64" s="81" t="s">
        <v>22</v>
      </c>
      <c r="O64" s="43">
        <f t="shared" si="14"/>
        <v>0</v>
      </c>
      <c r="P64" s="43">
        <f t="shared" si="13"/>
        <v>0</v>
      </c>
      <c r="Q64" s="44">
        <f t="shared" si="13"/>
        <v>0</v>
      </c>
      <c r="R64" s="51"/>
    </row>
    <row r="65" spans="1:18" ht="15.75">
      <c r="A65" s="23">
        <v>55</v>
      </c>
      <c r="B65" s="43">
        <f t="shared" si="1"/>
        <v>0</v>
      </c>
      <c r="C65" s="65">
        <f t="shared" si="3"/>
        <v>0</v>
      </c>
      <c r="D65" s="65">
        <f t="shared" si="4"/>
        <v>0</v>
      </c>
      <c r="E65" s="68">
        <f t="shared" si="5"/>
        <v>0</v>
      </c>
      <c r="F65" s="51"/>
      <c r="G65" s="4201"/>
      <c r="H65" s="40" t="s">
        <v>23</v>
      </c>
      <c r="I65" s="43">
        <f>IF($B$8=12,B65,IF($B$8=4,B29,IF($B$8=6,B38,IF($B$8=3,0,IF($B$8=2,B20,0)))))</f>
        <v>0</v>
      </c>
      <c r="J65" s="43">
        <f>IF($B$8=12,C65,IF($B$8=4,C29,IF($B$8=6,C38,IF($B$8=3,0,IF($B$8=2,C20,0)))))</f>
        <v>0</v>
      </c>
      <c r="K65" s="44">
        <f>IF($B$8=12,D65,IF($B$8=4,D29,IF($B$8=6,D38,IF($B$8=3,0,IF($B$8=2,D20,0)))))</f>
        <v>0</v>
      </c>
      <c r="L65" s="51"/>
      <c r="M65" s="4201"/>
      <c r="N65" s="81" t="s">
        <v>23</v>
      </c>
      <c r="O65" s="43">
        <f t="shared" si="14"/>
        <v>0</v>
      </c>
      <c r="P65" s="43">
        <f t="shared" si="13"/>
        <v>0</v>
      </c>
      <c r="Q65" s="44">
        <f t="shared" si="13"/>
        <v>0</v>
      </c>
      <c r="R65" s="51"/>
    </row>
    <row r="66" spans="1:18" ht="15.75">
      <c r="A66" s="23">
        <v>56</v>
      </c>
      <c r="B66" s="43">
        <f t="shared" si="1"/>
        <v>0</v>
      </c>
      <c r="C66" s="65">
        <f t="shared" si="3"/>
        <v>0</v>
      </c>
      <c r="D66" s="65">
        <f t="shared" si="4"/>
        <v>0</v>
      </c>
      <c r="E66" s="68">
        <f t="shared" si="5"/>
        <v>0</v>
      </c>
      <c r="F66" s="51"/>
      <c r="G66" s="4201"/>
      <c r="H66" s="40" t="s">
        <v>24</v>
      </c>
      <c r="I66" s="43">
        <f>IF($B$8=12,B66,IF($B$8=4,0,IF($B$8=6,0,IF($B$8=3,0,0))))</f>
        <v>0</v>
      </c>
      <c r="J66" s="43">
        <f>IF($B$8=12,C66,IF($B$8=4,0,IF($B$8=6,0,IF($B$8=3,0,0))))</f>
        <v>0</v>
      </c>
      <c r="K66" s="44">
        <f>IF($B$8=12,D66,IF($B$8=4,0,IF($B$8=6,0,IF($B$8=3,0,0))))</f>
        <v>0</v>
      </c>
      <c r="L66" s="51"/>
      <c r="M66" s="4201"/>
      <c r="N66" s="81" t="s">
        <v>24</v>
      </c>
      <c r="O66" s="43">
        <f t="shared" si="14"/>
        <v>0</v>
      </c>
      <c r="P66" s="43">
        <f t="shared" si="13"/>
        <v>0</v>
      </c>
      <c r="Q66" s="44">
        <f t="shared" si="13"/>
        <v>0</v>
      </c>
      <c r="R66" s="51"/>
    </row>
    <row r="67" spans="1:18" ht="15.75">
      <c r="A67" s="23">
        <v>57</v>
      </c>
      <c r="B67" s="43">
        <f t="shared" si="1"/>
        <v>0</v>
      </c>
      <c r="C67" s="65">
        <f t="shared" si="3"/>
        <v>0</v>
      </c>
      <c r="D67" s="65">
        <f t="shared" si="4"/>
        <v>0</v>
      </c>
      <c r="E67" s="68">
        <f t="shared" si="5"/>
        <v>0</v>
      </c>
      <c r="F67" s="51"/>
      <c r="G67" s="4201"/>
      <c r="H67" s="40" t="s">
        <v>25</v>
      </c>
      <c r="I67" s="43">
        <f>IF($B$8=12,B67,IF($B$8=4,0,IF($B$8=6,B39,IF($B$8=3,B25,0))))</f>
        <v>0</v>
      </c>
      <c r="J67" s="43">
        <f>IF($B$8=12,C67,IF($B$8=4,0,IF($B$8=6,C39,IF($B$8=3,C25,0))))</f>
        <v>0</v>
      </c>
      <c r="K67" s="44">
        <f>IF($B$8=12,D67,IF($B$8=4,0,IF($B$8=6,D39,IF($B$8=3,D25,0))))</f>
        <v>0</v>
      </c>
      <c r="L67" s="51"/>
      <c r="M67" s="4201"/>
      <c r="N67" s="81" t="s">
        <v>25</v>
      </c>
      <c r="O67" s="43">
        <f t="shared" si="14"/>
        <v>0</v>
      </c>
      <c r="P67" s="43">
        <f t="shared" si="13"/>
        <v>0</v>
      </c>
      <c r="Q67" s="44">
        <f t="shared" si="13"/>
        <v>0</v>
      </c>
      <c r="R67" s="51"/>
    </row>
    <row r="68" spans="1:18" ht="15.75">
      <c r="A68" s="23">
        <v>58</v>
      </c>
      <c r="B68" s="43">
        <f t="shared" si="1"/>
        <v>0</v>
      </c>
      <c r="C68" s="65">
        <f t="shared" si="3"/>
        <v>0</v>
      </c>
      <c r="D68" s="65">
        <f t="shared" si="4"/>
        <v>0</v>
      </c>
      <c r="E68" s="68">
        <f t="shared" si="5"/>
        <v>0</v>
      </c>
      <c r="F68" s="51"/>
      <c r="G68" s="4201"/>
      <c r="H68" s="40" t="s">
        <v>26</v>
      </c>
      <c r="I68" s="43">
        <f>IF($B$8=12,B68,IF($B$8=4,B30,IF($B$8=6,0,IF($B$8=3,0,0))))</f>
        <v>0</v>
      </c>
      <c r="J68" s="43">
        <f>IF($B$8=12,C68,IF($B$8=4,C30,IF($B$8=6,0,IF($B$8=3,0,0))))</f>
        <v>0</v>
      </c>
      <c r="K68" s="44">
        <f>IF($B$8=12,D68,IF($B$8=4,D30,IF($B$8=6,0,IF($B$8=3,0,0))))</f>
        <v>0</v>
      </c>
      <c r="L68" s="51"/>
      <c r="M68" s="4201"/>
      <c r="N68" s="81" t="s">
        <v>26</v>
      </c>
      <c r="O68" s="43">
        <f t="shared" si="14"/>
        <v>0</v>
      </c>
      <c r="P68" s="43">
        <f t="shared" si="13"/>
        <v>0</v>
      </c>
      <c r="Q68" s="44">
        <f t="shared" si="13"/>
        <v>0</v>
      </c>
      <c r="R68" s="51"/>
    </row>
    <row r="69" spans="1:18" ht="15.75">
      <c r="A69" s="23">
        <v>59</v>
      </c>
      <c r="B69" s="43">
        <f t="shared" si="1"/>
        <v>0</v>
      </c>
      <c r="C69" s="65">
        <f t="shared" si="3"/>
        <v>0</v>
      </c>
      <c r="D69" s="65">
        <f t="shared" si="4"/>
        <v>0</v>
      </c>
      <c r="E69" s="68">
        <f t="shared" si="5"/>
        <v>0</v>
      </c>
      <c r="F69" s="51"/>
      <c r="G69" s="4201"/>
      <c r="H69" s="40" t="s">
        <v>27</v>
      </c>
      <c r="I69" s="43">
        <f>IF($B$8=12,B69,IF($B$8=4,0,IF($B$8=6,B40,IF($B$8=3,0,0))))</f>
        <v>0</v>
      </c>
      <c r="J69" s="43">
        <f>IF($B$8=12,C69,IF($B$8=4,0,IF($B$8=6,C40,IF($B$8=3,0,0))))</f>
        <v>0</v>
      </c>
      <c r="K69" s="44">
        <f>IF($B$8=12,D69,IF($B$8=4,0,IF($B$8=6,D40,IF($B$8=3,0,0))))</f>
        <v>0</v>
      </c>
      <c r="L69" s="51"/>
      <c r="M69" s="4201"/>
      <c r="N69" s="81" t="s">
        <v>27</v>
      </c>
      <c r="O69" s="43">
        <f t="shared" si="14"/>
        <v>0</v>
      </c>
      <c r="P69" s="43">
        <f t="shared" si="13"/>
        <v>0</v>
      </c>
      <c r="Q69" s="44">
        <f t="shared" si="13"/>
        <v>0</v>
      </c>
      <c r="R69" s="51"/>
    </row>
    <row r="70" spans="1:18" ht="16.5" thickBot="1">
      <c r="A70" s="26">
        <v>60</v>
      </c>
      <c r="B70" s="48">
        <f t="shared" si="1"/>
        <v>0</v>
      </c>
      <c r="C70" s="78">
        <f t="shared" si="3"/>
        <v>0</v>
      </c>
      <c r="D70" s="78">
        <f t="shared" si="4"/>
        <v>0</v>
      </c>
      <c r="E70" s="49">
        <f t="shared" si="5"/>
        <v>0</v>
      </c>
      <c r="F70" s="243">
        <f>SUM(D59:D70)</f>
        <v>0</v>
      </c>
      <c r="G70" s="4202"/>
      <c r="H70" s="47" t="s">
        <v>28</v>
      </c>
      <c r="I70" s="48">
        <f>IF($B$8=12,B70,IF($B$8=4,0,IF($B$8=6,0,IF($B$8=3,0,0))))</f>
        <v>0</v>
      </c>
      <c r="J70" s="48">
        <f>IF($B$8=12,C70,IF($B$8=4,0,IF($B$8=6,0,IF($B$8=3,0,0))))</f>
        <v>0</v>
      </c>
      <c r="K70" s="49">
        <f>IF($B$8=12,D70,IF($B$8=4,0,IF($B$8=6,0,IF($B$8=3,0,0))))</f>
        <v>0</v>
      </c>
      <c r="L70" s="51"/>
      <c r="M70" s="4202"/>
      <c r="N70" s="87" t="s">
        <v>28</v>
      </c>
      <c r="O70" s="48">
        <f t="shared" si="14"/>
        <v>0</v>
      </c>
      <c r="P70" s="48">
        <f t="shared" si="13"/>
        <v>0</v>
      </c>
      <c r="Q70" s="49">
        <f t="shared" si="13"/>
        <v>0</v>
      </c>
      <c r="R70" s="51"/>
    </row>
    <row r="71" spans="1:18" ht="16.5" thickTop="1">
      <c r="A71" s="23">
        <v>61</v>
      </c>
      <c r="B71" s="43">
        <f t="shared" ref="B71:B82" si="15">IF(E70&gt;0,PMT($B$6/12,$B$7*$B$8,-$B$5,,1),0)</f>
        <v>0</v>
      </c>
      <c r="C71" s="65">
        <f t="shared" ref="C71:C82" si="16">IF(E70&gt;0,B71-D71,0)</f>
        <v>0</v>
      </c>
      <c r="D71" s="65">
        <f t="shared" ref="D71:D82" si="17">IF(E70&gt;0,B71-(E70*(Interes/12)),0)</f>
        <v>0</v>
      </c>
      <c r="E71" s="44">
        <f t="shared" ref="E71:E82" si="18">IF(E70&gt;0,IF((E70-D71)&gt;0.01,E70-D71,0),0)</f>
        <v>0</v>
      </c>
      <c r="F71" s="51"/>
      <c r="G71" s="51"/>
      <c r="H71" s="226" t="s">
        <v>17</v>
      </c>
      <c r="I71" s="43">
        <f t="shared" ref="I71:I82" si="19">IF($B$8=12,B71,IF($B$8=4,0,IF($B$8=6,0,IF($B$8=3,0,0))))</f>
        <v>0</v>
      </c>
      <c r="J71" s="43">
        <f t="shared" ref="J71:J82" si="20">IF($B$8=12,C71,IF($B$8=4,0,IF($B$8=6,0,IF($B$8=3,0,0))))</f>
        <v>0</v>
      </c>
      <c r="K71" s="44">
        <f t="shared" ref="K71:K82" si="21">IF($B$8=12,D71,IF($B$8=4,0,IF($B$8=6,0,IF($B$8=3,0,0))))</f>
        <v>0</v>
      </c>
      <c r="L71" s="51"/>
      <c r="M71" s="81"/>
      <c r="N71" s="81" t="s">
        <v>17</v>
      </c>
      <c r="O71" s="43">
        <f t="shared" ref="O71:O82" si="22">IF($I$6=5,I23,IF($I$6=4,I35,IF($I$6=3,I47,IF($I$6=2,I59,IF($I$6=1,I71,0)))))</f>
        <v>0</v>
      </c>
      <c r="P71" s="43">
        <f t="shared" ref="P71:P82" si="23">IF($I$6=5,J23,IF($I$6=4,J35,IF($I$6=3,J47,IF($I$6=2,J59,IF($I$6=1,J71,0)))))</f>
        <v>0</v>
      </c>
      <c r="Q71" s="44">
        <f t="shared" ref="Q71:Q82" si="24">IF($I$6=5,K23,IF($I$6=4,K35,IF($I$6=3,K47,IF($I$6=2,K59,IF($I$6=1,K71,0)))))</f>
        <v>0</v>
      </c>
      <c r="R71" s="51"/>
    </row>
    <row r="72" spans="1:18" ht="15.75">
      <c r="A72" s="23">
        <v>62</v>
      </c>
      <c r="B72" s="43">
        <f t="shared" si="15"/>
        <v>0</v>
      </c>
      <c r="C72" s="65">
        <f t="shared" si="16"/>
        <v>0</v>
      </c>
      <c r="D72" s="65">
        <f t="shared" si="17"/>
        <v>0</v>
      </c>
      <c r="E72" s="44">
        <f t="shared" si="18"/>
        <v>0</v>
      </c>
      <c r="G72" s="229"/>
      <c r="H72" s="226" t="s">
        <v>18</v>
      </c>
      <c r="I72" s="43">
        <f t="shared" si="19"/>
        <v>0</v>
      </c>
      <c r="J72" s="43">
        <f t="shared" si="20"/>
        <v>0</v>
      </c>
      <c r="K72" s="44">
        <f t="shared" si="21"/>
        <v>0</v>
      </c>
      <c r="L72" s="229"/>
      <c r="M72" s="229"/>
      <c r="N72" s="81" t="s">
        <v>18</v>
      </c>
      <c r="O72" s="43">
        <f t="shared" si="22"/>
        <v>0</v>
      </c>
      <c r="P72" s="43">
        <f t="shared" si="23"/>
        <v>0</v>
      </c>
      <c r="Q72" s="44">
        <f t="shared" si="24"/>
        <v>0</v>
      </c>
    </row>
    <row r="73" spans="1:18" ht="15.75">
      <c r="A73" s="23">
        <v>63</v>
      </c>
      <c r="B73" s="43">
        <f t="shared" si="15"/>
        <v>0</v>
      </c>
      <c r="C73" s="65">
        <f t="shared" si="16"/>
        <v>0</v>
      </c>
      <c r="D73" s="65">
        <f t="shared" si="17"/>
        <v>0</v>
      </c>
      <c r="E73" s="44">
        <f t="shared" si="18"/>
        <v>0</v>
      </c>
      <c r="G73" s="229"/>
      <c r="H73" s="226" t="s">
        <v>19</v>
      </c>
      <c r="I73" s="43">
        <f t="shared" si="19"/>
        <v>0</v>
      </c>
      <c r="J73" s="43">
        <f t="shared" si="20"/>
        <v>0</v>
      </c>
      <c r="K73" s="44">
        <f t="shared" si="21"/>
        <v>0</v>
      </c>
      <c r="L73" s="229"/>
      <c r="M73" s="229"/>
      <c r="N73" s="81" t="s">
        <v>19</v>
      </c>
      <c r="O73" s="43">
        <f t="shared" si="22"/>
        <v>0</v>
      </c>
      <c r="P73" s="43">
        <f t="shared" si="23"/>
        <v>0</v>
      </c>
      <c r="Q73" s="44">
        <f t="shared" si="24"/>
        <v>0</v>
      </c>
    </row>
    <row r="74" spans="1:18" ht="15.75">
      <c r="A74" s="23">
        <v>64</v>
      </c>
      <c r="B74" s="43">
        <f t="shared" si="15"/>
        <v>0</v>
      </c>
      <c r="C74" s="65">
        <f t="shared" si="16"/>
        <v>0</v>
      </c>
      <c r="D74" s="65">
        <f t="shared" si="17"/>
        <v>0</v>
      </c>
      <c r="E74" s="44">
        <f t="shared" si="18"/>
        <v>0</v>
      </c>
      <c r="G74" s="229"/>
      <c r="H74" s="226" t="s">
        <v>20</v>
      </c>
      <c r="I74" s="43">
        <f t="shared" si="19"/>
        <v>0</v>
      </c>
      <c r="J74" s="43">
        <f t="shared" si="20"/>
        <v>0</v>
      </c>
      <c r="K74" s="44">
        <f t="shared" si="21"/>
        <v>0</v>
      </c>
      <c r="L74" s="229"/>
      <c r="M74" s="229"/>
      <c r="N74" s="81" t="s">
        <v>20</v>
      </c>
      <c r="O74" s="43">
        <f t="shared" si="22"/>
        <v>0</v>
      </c>
      <c r="P74" s="43">
        <f t="shared" si="23"/>
        <v>0</v>
      </c>
      <c r="Q74" s="44">
        <f t="shared" si="24"/>
        <v>0</v>
      </c>
    </row>
    <row r="75" spans="1:18" ht="15.75">
      <c r="A75" s="23">
        <v>65</v>
      </c>
      <c r="B75" s="43">
        <f t="shared" si="15"/>
        <v>0</v>
      </c>
      <c r="C75" s="65">
        <f t="shared" si="16"/>
        <v>0</v>
      </c>
      <c r="D75" s="65">
        <f t="shared" si="17"/>
        <v>0</v>
      </c>
      <c r="E75" s="44">
        <f t="shared" si="18"/>
        <v>0</v>
      </c>
      <c r="G75" s="229"/>
      <c r="H75" s="226" t="s">
        <v>21</v>
      </c>
      <c r="I75" s="43">
        <f t="shared" si="19"/>
        <v>0</v>
      </c>
      <c r="J75" s="43">
        <f t="shared" si="20"/>
        <v>0</v>
      </c>
      <c r="K75" s="44">
        <f t="shared" si="21"/>
        <v>0</v>
      </c>
      <c r="L75" s="229"/>
      <c r="M75" s="229"/>
      <c r="N75" s="81" t="s">
        <v>21</v>
      </c>
      <c r="O75" s="43">
        <f t="shared" si="22"/>
        <v>0</v>
      </c>
      <c r="P75" s="43">
        <f t="shared" si="23"/>
        <v>0</v>
      </c>
      <c r="Q75" s="44">
        <f t="shared" si="24"/>
        <v>0</v>
      </c>
    </row>
    <row r="76" spans="1:18" ht="15.75">
      <c r="A76" s="23">
        <v>66</v>
      </c>
      <c r="B76" s="43">
        <f t="shared" si="15"/>
        <v>0</v>
      </c>
      <c r="C76" s="65">
        <f t="shared" si="16"/>
        <v>0</v>
      </c>
      <c r="D76" s="65">
        <f t="shared" si="17"/>
        <v>0</v>
      </c>
      <c r="E76" s="44">
        <f t="shared" si="18"/>
        <v>0</v>
      </c>
      <c r="G76" s="229"/>
      <c r="H76" s="226" t="s">
        <v>22</v>
      </c>
      <c r="I76" s="43">
        <f t="shared" si="19"/>
        <v>0</v>
      </c>
      <c r="J76" s="43">
        <f t="shared" si="20"/>
        <v>0</v>
      </c>
      <c r="K76" s="44">
        <f t="shared" si="21"/>
        <v>0</v>
      </c>
      <c r="L76" s="229"/>
      <c r="M76" s="229"/>
      <c r="N76" s="81" t="s">
        <v>22</v>
      </c>
      <c r="O76" s="43">
        <f t="shared" si="22"/>
        <v>0</v>
      </c>
      <c r="P76" s="43">
        <f t="shared" si="23"/>
        <v>0</v>
      </c>
      <c r="Q76" s="44">
        <f t="shared" si="24"/>
        <v>0</v>
      </c>
    </row>
    <row r="77" spans="1:18" ht="15.75">
      <c r="A77" s="23">
        <v>67</v>
      </c>
      <c r="B77" s="43">
        <f t="shared" si="15"/>
        <v>0</v>
      </c>
      <c r="C77" s="65">
        <f t="shared" si="16"/>
        <v>0</v>
      </c>
      <c r="D77" s="65">
        <f t="shared" si="17"/>
        <v>0</v>
      </c>
      <c r="E77" s="44">
        <f t="shared" si="18"/>
        <v>0</v>
      </c>
      <c r="G77" s="229"/>
      <c r="H77" s="226" t="s">
        <v>23</v>
      </c>
      <c r="I77" s="43">
        <f t="shared" si="19"/>
        <v>0</v>
      </c>
      <c r="J77" s="43">
        <f t="shared" si="20"/>
        <v>0</v>
      </c>
      <c r="K77" s="44">
        <f t="shared" si="21"/>
        <v>0</v>
      </c>
      <c r="L77" s="229"/>
      <c r="M77" s="229"/>
      <c r="N77" s="81" t="s">
        <v>23</v>
      </c>
      <c r="O77" s="43">
        <f t="shared" si="22"/>
        <v>0</v>
      </c>
      <c r="P77" s="43">
        <f t="shared" si="23"/>
        <v>0</v>
      </c>
      <c r="Q77" s="44">
        <f t="shared" si="24"/>
        <v>0</v>
      </c>
    </row>
    <row r="78" spans="1:18" ht="15.75">
      <c r="A78" s="23">
        <v>68</v>
      </c>
      <c r="B78" s="43">
        <f t="shared" si="15"/>
        <v>0</v>
      </c>
      <c r="C78" s="65">
        <f t="shared" si="16"/>
        <v>0</v>
      </c>
      <c r="D78" s="65">
        <f t="shared" si="17"/>
        <v>0</v>
      </c>
      <c r="E78" s="44">
        <f t="shared" si="18"/>
        <v>0</v>
      </c>
      <c r="G78" s="229"/>
      <c r="H78" s="226" t="s">
        <v>24</v>
      </c>
      <c r="I78" s="43">
        <f t="shared" si="19"/>
        <v>0</v>
      </c>
      <c r="J78" s="43">
        <f t="shared" si="20"/>
        <v>0</v>
      </c>
      <c r="K78" s="44">
        <f t="shared" si="21"/>
        <v>0</v>
      </c>
      <c r="L78" s="229"/>
      <c r="M78" s="229"/>
      <c r="N78" s="81" t="s">
        <v>24</v>
      </c>
      <c r="O78" s="43">
        <f t="shared" si="22"/>
        <v>0</v>
      </c>
      <c r="P78" s="43">
        <f t="shared" si="23"/>
        <v>0</v>
      </c>
      <c r="Q78" s="44">
        <f t="shared" si="24"/>
        <v>0</v>
      </c>
    </row>
    <row r="79" spans="1:18" ht="15.75">
      <c r="A79" s="23">
        <v>69</v>
      </c>
      <c r="B79" s="43">
        <f t="shared" si="15"/>
        <v>0</v>
      </c>
      <c r="C79" s="65">
        <f t="shared" si="16"/>
        <v>0</v>
      </c>
      <c r="D79" s="65">
        <f t="shared" si="17"/>
        <v>0</v>
      </c>
      <c r="E79" s="44">
        <f t="shared" si="18"/>
        <v>0</v>
      </c>
      <c r="G79" s="229"/>
      <c r="H79" s="226" t="s">
        <v>25</v>
      </c>
      <c r="I79" s="43">
        <f t="shared" si="19"/>
        <v>0</v>
      </c>
      <c r="J79" s="43">
        <f t="shared" si="20"/>
        <v>0</v>
      </c>
      <c r="K79" s="44">
        <f t="shared" si="21"/>
        <v>0</v>
      </c>
      <c r="L79" s="229"/>
      <c r="M79" s="229"/>
      <c r="N79" s="81" t="s">
        <v>25</v>
      </c>
      <c r="O79" s="43">
        <f t="shared" si="22"/>
        <v>0</v>
      </c>
      <c r="P79" s="43">
        <f t="shared" si="23"/>
        <v>0</v>
      </c>
      <c r="Q79" s="44">
        <f t="shared" si="24"/>
        <v>0</v>
      </c>
    </row>
    <row r="80" spans="1:18" ht="15.75">
      <c r="A80" s="23">
        <v>70</v>
      </c>
      <c r="B80" s="43">
        <f t="shared" si="15"/>
        <v>0</v>
      </c>
      <c r="C80" s="65">
        <f t="shared" si="16"/>
        <v>0</v>
      </c>
      <c r="D80" s="65">
        <f t="shared" si="17"/>
        <v>0</v>
      </c>
      <c r="E80" s="44">
        <f t="shared" si="18"/>
        <v>0</v>
      </c>
      <c r="G80" s="229"/>
      <c r="H80" s="226" t="s">
        <v>26</v>
      </c>
      <c r="I80" s="43">
        <f t="shared" si="19"/>
        <v>0</v>
      </c>
      <c r="J80" s="43">
        <f t="shared" si="20"/>
        <v>0</v>
      </c>
      <c r="K80" s="44">
        <f t="shared" si="21"/>
        <v>0</v>
      </c>
      <c r="L80" s="229"/>
      <c r="M80" s="229"/>
      <c r="N80" s="81" t="s">
        <v>26</v>
      </c>
      <c r="O80" s="43">
        <f t="shared" si="22"/>
        <v>0</v>
      </c>
      <c r="P80" s="43">
        <f t="shared" si="23"/>
        <v>0</v>
      </c>
      <c r="Q80" s="44">
        <f t="shared" si="24"/>
        <v>0</v>
      </c>
    </row>
    <row r="81" spans="1:17" ht="15.75">
      <c r="A81" s="23">
        <v>71</v>
      </c>
      <c r="B81" s="43">
        <f t="shared" si="15"/>
        <v>0</v>
      </c>
      <c r="C81" s="65">
        <f t="shared" si="16"/>
        <v>0</v>
      </c>
      <c r="D81" s="65">
        <f t="shared" si="17"/>
        <v>0</v>
      </c>
      <c r="E81" s="44">
        <f t="shared" si="18"/>
        <v>0</v>
      </c>
      <c r="G81" s="229"/>
      <c r="H81" s="226" t="s">
        <v>27</v>
      </c>
      <c r="I81" s="43">
        <f t="shared" si="19"/>
        <v>0</v>
      </c>
      <c r="J81" s="43">
        <f t="shared" si="20"/>
        <v>0</v>
      </c>
      <c r="K81" s="44">
        <f t="shared" si="21"/>
        <v>0</v>
      </c>
      <c r="L81" s="229"/>
      <c r="M81" s="229"/>
      <c r="N81" s="81" t="s">
        <v>27</v>
      </c>
      <c r="O81" s="43">
        <f t="shared" si="22"/>
        <v>0</v>
      </c>
      <c r="P81" s="43">
        <f t="shared" si="23"/>
        <v>0</v>
      </c>
      <c r="Q81" s="44">
        <f t="shared" si="24"/>
        <v>0</v>
      </c>
    </row>
    <row r="82" spans="1:17" ht="16.5" thickBot="1">
      <c r="A82" s="26">
        <v>72</v>
      </c>
      <c r="B82" s="48">
        <f t="shared" si="15"/>
        <v>0</v>
      </c>
      <c r="C82" s="78">
        <f t="shared" si="16"/>
        <v>0</v>
      </c>
      <c r="D82" s="78">
        <f t="shared" si="17"/>
        <v>0</v>
      </c>
      <c r="E82" s="49">
        <f t="shared" si="18"/>
        <v>0</v>
      </c>
      <c r="F82" s="243">
        <f>SUM(D71:D82)</f>
        <v>0</v>
      </c>
      <c r="H82" s="47" t="s">
        <v>28</v>
      </c>
      <c r="I82" s="48">
        <f t="shared" si="19"/>
        <v>0</v>
      </c>
      <c r="J82" s="48">
        <f t="shared" si="20"/>
        <v>0</v>
      </c>
      <c r="K82" s="49">
        <f t="shared" si="21"/>
        <v>0</v>
      </c>
      <c r="N82" s="87" t="s">
        <v>28</v>
      </c>
      <c r="O82" s="48">
        <f t="shared" si="22"/>
        <v>0</v>
      </c>
      <c r="P82" s="48">
        <f t="shared" si="23"/>
        <v>0</v>
      </c>
      <c r="Q82" s="49">
        <f t="shared" si="24"/>
        <v>0</v>
      </c>
    </row>
    <row r="83" spans="1:17" ht="13.5" thickTop="1"/>
  </sheetData>
  <sheetProtection sheet="1" formatColumns="0" formatRows="0"/>
  <mergeCells count="10">
    <mergeCell ref="G11:G22"/>
    <mergeCell ref="M11:M22"/>
    <mergeCell ref="G23:G34"/>
    <mergeCell ref="M23:M34"/>
    <mergeCell ref="G59:G70"/>
    <mergeCell ref="M59:M70"/>
    <mergeCell ref="G35:G46"/>
    <mergeCell ref="M35:M46"/>
    <mergeCell ref="G47:G58"/>
    <mergeCell ref="M47:M58"/>
  </mergeCells>
  <phoneticPr fontId="9" type="noConversion"/>
  <dataValidations count="1">
    <dataValidation allowBlank="1" showInputMessage="1" showErrorMessage="1" error="Solo valores enteros comprendidos entre 1 y 5" sqref="I6"/>
  </dataValidations>
  <pageMargins left="0.75" right="0.75" top="1" bottom="1" header="0" footer="0"/>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U83"/>
  <sheetViews>
    <sheetView topLeftCell="D1" zoomScale="75" workbookViewId="0">
      <selection activeCell="T13" sqref="T13"/>
    </sheetView>
  </sheetViews>
  <sheetFormatPr baseColWidth="10" defaultRowHeight="12.75"/>
  <cols>
    <col min="1" max="1" width="22.33203125" customWidth="1"/>
    <col min="2" max="2" width="17.83203125" customWidth="1"/>
    <col min="3" max="3" width="14.83203125" customWidth="1"/>
    <col min="4" max="4" width="18.1640625" customWidth="1"/>
    <col min="5" max="5" width="16.1640625" customWidth="1"/>
    <col min="6" max="6" width="13.83203125" customWidth="1"/>
    <col min="7" max="7" width="6" bestFit="1" customWidth="1"/>
    <col min="8" max="8" width="16" customWidth="1"/>
    <col min="9" max="9" width="16.83203125" customWidth="1"/>
    <col min="10" max="10" width="17.5" customWidth="1"/>
    <col min="11" max="11" width="16.6640625" customWidth="1"/>
    <col min="12" max="12" width="4.6640625" customWidth="1"/>
    <col min="13" max="13" width="6" bestFit="1" customWidth="1"/>
    <col min="14" max="14" width="17.83203125" customWidth="1"/>
    <col min="15" max="15" width="19.83203125" customWidth="1"/>
    <col min="16" max="16" width="17.33203125" customWidth="1"/>
    <col min="17" max="17" width="16" customWidth="1"/>
    <col min="18" max="18" width="18" customWidth="1"/>
    <col min="19" max="19" width="16.1640625" customWidth="1"/>
  </cols>
  <sheetData>
    <row r="1" spans="1:21" ht="26.25" thickBot="1">
      <c r="A1" s="8">
        <f>'1.Datos Básicos. Product-Serv'!B5</f>
        <v>0</v>
      </c>
      <c r="B1" s="51"/>
      <c r="C1" s="51"/>
      <c r="D1" s="51"/>
      <c r="E1" s="51"/>
      <c r="F1" s="51"/>
      <c r="G1" s="51"/>
      <c r="H1" s="51"/>
      <c r="I1" s="51"/>
      <c r="J1" s="51"/>
      <c r="K1" s="51"/>
      <c r="L1" s="51"/>
      <c r="M1" s="81"/>
      <c r="N1" s="82"/>
      <c r="O1" s="51"/>
      <c r="P1" s="51"/>
      <c r="Q1" s="51"/>
      <c r="R1" s="51"/>
    </row>
    <row r="2" spans="1:21" ht="33" thickTop="1" thickBot="1">
      <c r="A2" s="8"/>
      <c r="B2" s="51"/>
      <c r="C2" s="51"/>
      <c r="D2" s="51"/>
      <c r="E2" s="51"/>
      <c r="F2" s="51"/>
      <c r="G2" s="51"/>
      <c r="H2" s="51"/>
      <c r="I2" s="51"/>
      <c r="J2" s="51"/>
      <c r="K2" s="51"/>
      <c r="L2" s="51"/>
      <c r="M2" s="81"/>
      <c r="N2" s="83" t="s">
        <v>68</v>
      </c>
      <c r="O2" s="54" t="s">
        <v>14</v>
      </c>
      <c r="P2" s="54" t="s">
        <v>66</v>
      </c>
      <c r="Q2" s="55" t="s">
        <v>67</v>
      </c>
      <c r="R2" s="56" t="s">
        <v>15</v>
      </c>
      <c r="S2" s="242" t="s">
        <v>419</v>
      </c>
      <c r="T2" s="242" t="s">
        <v>420</v>
      </c>
    </row>
    <row r="3" spans="1:21" ht="26.25" thickTop="1">
      <c r="A3" s="8" t="s">
        <v>90</v>
      </c>
      <c r="B3" s="51"/>
      <c r="C3" s="105"/>
      <c r="D3" s="51"/>
      <c r="E3" s="51"/>
      <c r="F3" s="51"/>
      <c r="G3" s="50"/>
      <c r="H3" s="51"/>
      <c r="I3" s="51"/>
      <c r="J3" s="51"/>
      <c r="K3" s="51"/>
      <c r="L3" s="51"/>
      <c r="M3" s="81"/>
      <c r="N3" s="27">
        <f>'1.Datos Básicos. Product-Serv'!$B$7</f>
        <v>0</v>
      </c>
      <c r="O3" s="41">
        <f>SUM(O11:O22)</f>
        <v>0</v>
      </c>
      <c r="P3" s="41">
        <f>SUM(P11:P22)</f>
        <v>0</v>
      </c>
      <c r="Q3" s="41">
        <f>SUM(Q11:Q22)</f>
        <v>0</v>
      </c>
      <c r="R3" s="44">
        <f>IF($I$6=1,$B$5-Q3,0)</f>
        <v>0</v>
      </c>
      <c r="S3" s="245">
        <v>0</v>
      </c>
      <c r="T3" s="245">
        <v>0</v>
      </c>
      <c r="U3" s="246">
        <f t="shared" ref="U3:U8" si="0">SUM(S3:T3)</f>
        <v>0</v>
      </c>
    </row>
    <row r="4" spans="1:21" ht="16.5" thickBot="1">
      <c r="A4" s="9"/>
      <c r="B4" s="51"/>
      <c r="C4" s="51"/>
      <c r="D4" s="51"/>
      <c r="E4" s="51"/>
      <c r="F4" s="51"/>
      <c r="G4" s="51"/>
      <c r="H4" s="51"/>
      <c r="I4" s="51"/>
      <c r="J4" s="51"/>
      <c r="K4" s="51"/>
      <c r="L4" s="51"/>
      <c r="M4" s="81"/>
      <c r="N4" s="28">
        <f>'1.Datos Básicos. Product-Serv'!$B$7+1</f>
        <v>1</v>
      </c>
      <c r="O4" s="43">
        <f>SUM(O23:O34)</f>
        <v>0</v>
      </c>
      <c r="P4" s="43">
        <f>SUM(P23:P34)</f>
        <v>0</v>
      </c>
      <c r="Q4" s="43">
        <f>SUM(Q23:Q34)</f>
        <v>0</v>
      </c>
      <c r="R4" s="44">
        <f>IF($I$6=1,$B$5-(Q3+Q4),IF($I$6=2,$B$5-Q4,0))</f>
        <v>0</v>
      </c>
      <c r="S4" s="245">
        <v>0</v>
      </c>
      <c r="T4" s="245">
        <v>0</v>
      </c>
      <c r="U4" s="246">
        <f t="shared" si="0"/>
        <v>0</v>
      </c>
    </row>
    <row r="5" spans="1:21" ht="17.25" thickTop="1" thickBot="1">
      <c r="A5" s="10" t="s">
        <v>71</v>
      </c>
      <c r="B5" s="118">
        <f>'(0) 3c. Cuadro Renting y L'!M17</f>
        <v>0</v>
      </c>
      <c r="C5" s="57"/>
      <c r="D5" s="51"/>
      <c r="E5" s="51"/>
      <c r="F5" s="51"/>
      <c r="G5" s="51"/>
      <c r="H5" s="51"/>
      <c r="I5" s="51"/>
      <c r="J5" s="51"/>
      <c r="K5" s="51"/>
      <c r="L5" s="51"/>
      <c r="M5" s="81"/>
      <c r="N5" s="28">
        <f>'1.Datos Básicos. Product-Serv'!$B$7+2</f>
        <v>2</v>
      </c>
      <c r="O5" s="43">
        <f>SUM(O35:O46)</f>
        <v>0</v>
      </c>
      <c r="P5" s="43">
        <f>SUM(P35:P46)</f>
        <v>0</v>
      </c>
      <c r="Q5" s="43">
        <f>SUM(Q35:Q46)</f>
        <v>0</v>
      </c>
      <c r="R5" s="44">
        <f>IF($I$6=1,$B$5-(Q3+Q4+Q5),IF($I$6=2,$B$5-(Q4+Q5),IF($I$6=3,$B$5-(Q5),0)))</f>
        <v>0</v>
      </c>
      <c r="S5" s="245">
        <v>0</v>
      </c>
      <c r="T5" s="245">
        <v>0</v>
      </c>
      <c r="U5" s="246">
        <f t="shared" si="0"/>
        <v>0</v>
      </c>
    </row>
    <row r="6" spans="1:21" ht="16.5" thickBot="1">
      <c r="A6" s="11" t="s">
        <v>9</v>
      </c>
      <c r="B6" s="230">
        <f>'(0) 3c. Cuadro Renting y L'!M18</f>
        <v>0.05</v>
      </c>
      <c r="C6" s="57"/>
      <c r="D6" s="57"/>
      <c r="E6" s="58" t="s">
        <v>73</v>
      </c>
      <c r="F6" s="59"/>
      <c r="G6" s="60"/>
      <c r="H6" s="60"/>
      <c r="I6" s="110" t="str">
        <f>IF('(0) 3c. Cuadro Renting y L'!M17&gt;0,4,"")</f>
        <v/>
      </c>
      <c r="J6" s="61" t="s">
        <v>75</v>
      </c>
      <c r="K6" s="51"/>
      <c r="L6" s="51"/>
      <c r="M6" s="81"/>
      <c r="N6" s="28">
        <f>'1.Datos Básicos. Product-Serv'!$B$7+3</f>
        <v>3</v>
      </c>
      <c r="O6" s="43">
        <f>SUM(O47:O58)</f>
        <v>0</v>
      </c>
      <c r="P6" s="43">
        <f>SUM(P47:P58)</f>
        <v>0</v>
      </c>
      <c r="Q6" s="43">
        <f>SUM(Q47:Q58)</f>
        <v>0</v>
      </c>
      <c r="R6" s="44">
        <f>IF($I$6=1,$B$5-(Q3+Q4+Q5+Q6),IF($I$6=2,$B$5-(Q4+Q5+Q6),IF($I$6=3,$B$5-(Q5+Q6),IF($I$6=4,$B$5-Q6,0))))</f>
        <v>0</v>
      </c>
      <c r="S6" s="245">
        <f>IF($E$22=0,0,$E$22-$F$34)</f>
        <v>0</v>
      </c>
      <c r="T6" s="245">
        <f>$F$34</f>
        <v>0</v>
      </c>
      <c r="U6" s="246">
        <f t="shared" si="0"/>
        <v>0</v>
      </c>
    </row>
    <row r="7" spans="1:21" ht="16.5" thickBot="1">
      <c r="A7" s="11" t="s">
        <v>10</v>
      </c>
      <c r="B7" s="119">
        <f>'(0) 3c. Cuadro Renting y L'!M19</f>
        <v>4</v>
      </c>
      <c r="C7" s="57"/>
      <c r="D7" s="51"/>
      <c r="E7" s="51"/>
      <c r="F7" s="51"/>
      <c r="G7" s="51"/>
      <c r="H7" s="51"/>
      <c r="I7" s="51"/>
      <c r="J7" s="51"/>
      <c r="K7" s="51"/>
      <c r="L7" s="51"/>
      <c r="M7" s="81"/>
      <c r="N7" s="29">
        <f>'1.Datos Básicos. Product-Serv'!$B$7+4</f>
        <v>4</v>
      </c>
      <c r="O7" s="48">
        <f>SUM(O59:O70)</f>
        <v>0</v>
      </c>
      <c r="P7" s="48">
        <f>SUM(P59:P70)</f>
        <v>0</v>
      </c>
      <c r="Q7" s="48">
        <f>SUM(Q59:Q70)</f>
        <v>0</v>
      </c>
      <c r="R7" s="49">
        <f>IF($I$6=1,$B$5-(Q3+Q4+Q5+Q6+Q7),IF($I$6=2,$B$5-(Q4+Q5+Q6+Q7),IF($I$6=3,$B$5-(Q5+Q6+Q7),IF($I$6=4,$B$5-(Q6+Q7),IF($I$6=5,$B$5-Q7,0)))))</f>
        <v>0</v>
      </c>
      <c r="S7" s="245">
        <f>IF($E$34=0,0,$E$34-$F$46)</f>
        <v>0</v>
      </c>
      <c r="T7" s="245">
        <f>F46</f>
        <v>0</v>
      </c>
      <c r="U7" s="246">
        <f t="shared" si="0"/>
        <v>0</v>
      </c>
    </row>
    <row r="8" spans="1:21" ht="17.25" thickTop="1" thickBot="1">
      <c r="A8" s="16" t="s">
        <v>12</v>
      </c>
      <c r="B8" s="120">
        <f>'(0) 3c. Cuadro Renting y L'!M20</f>
        <v>12</v>
      </c>
      <c r="C8" s="57"/>
      <c r="D8" s="51"/>
      <c r="E8" s="51"/>
      <c r="F8" s="51"/>
      <c r="G8" s="51"/>
      <c r="H8" s="51"/>
      <c r="I8" s="51"/>
      <c r="J8" s="51"/>
      <c r="K8" s="51"/>
      <c r="L8" s="51"/>
      <c r="M8" s="81"/>
      <c r="N8" s="228">
        <f>'1.Datos Básicos. Product-Serv'!$B$7+5</f>
        <v>5</v>
      </c>
      <c r="O8" s="48">
        <f>SUM(O71:O82)</f>
        <v>0</v>
      </c>
      <c r="P8" s="48">
        <f>SUM(P71:P82)</f>
        <v>0</v>
      </c>
      <c r="Q8" s="48">
        <f>SUM(Q71:Q82)</f>
        <v>0</v>
      </c>
      <c r="R8" s="49">
        <f>IF($I$6=1,$B$5-(Q3+Q4+Q5+Q6+Q7+Q8),IF($I$6=2,$B$5-(Q4+Q5+Q6+Q7+Q8),IF($I$6=3,$B$5-(Q5+Q6+Q7+Q8),IF($I$6=4,$B$5-(Q6+Q7+Q8),IF($I$6=5,$B$5-(Q7+Q8),IF($I$6=6,$B$5-Q8,0))))))</f>
        <v>0</v>
      </c>
      <c r="S8" s="244"/>
      <c r="T8" s="244"/>
      <c r="U8" s="246">
        <f t="shared" si="0"/>
        <v>0</v>
      </c>
    </row>
    <row r="9" spans="1:21" ht="17.25" thickTop="1" thickBot="1">
      <c r="A9" s="9"/>
      <c r="B9" s="51"/>
      <c r="C9" s="51"/>
      <c r="D9" s="51"/>
      <c r="E9" s="51"/>
      <c r="F9" s="51"/>
      <c r="G9" s="51"/>
      <c r="H9" s="51"/>
      <c r="I9" s="51"/>
      <c r="J9" s="51"/>
      <c r="K9" s="51"/>
      <c r="L9" s="51"/>
      <c r="M9" s="81"/>
      <c r="N9" s="81"/>
      <c r="O9" s="51"/>
      <c r="P9" s="51"/>
      <c r="Q9" s="51"/>
      <c r="R9" s="51"/>
    </row>
    <row r="10" spans="1:21" ht="33" thickTop="1" thickBot="1">
      <c r="A10" s="17" t="s">
        <v>13</v>
      </c>
      <c r="B10" s="62" t="s">
        <v>14</v>
      </c>
      <c r="C10" s="62" t="s">
        <v>64</v>
      </c>
      <c r="D10" s="62" t="s">
        <v>65</v>
      </c>
      <c r="E10" s="63" t="s">
        <v>15</v>
      </c>
      <c r="F10" s="64"/>
      <c r="G10" s="51"/>
      <c r="H10" s="53" t="s">
        <v>42</v>
      </c>
      <c r="I10" s="62" t="s">
        <v>14</v>
      </c>
      <c r="J10" s="62" t="s">
        <v>66</v>
      </c>
      <c r="K10" s="63" t="s">
        <v>67</v>
      </c>
      <c r="L10" s="64"/>
      <c r="M10" s="84"/>
      <c r="N10" s="83" t="s">
        <v>42</v>
      </c>
      <c r="O10" s="54" t="s">
        <v>14</v>
      </c>
      <c r="P10" s="54" t="s">
        <v>66</v>
      </c>
      <c r="Q10" s="56" t="s">
        <v>67</v>
      </c>
      <c r="R10" s="51"/>
    </row>
    <row r="11" spans="1:21" ht="16.5" thickTop="1">
      <c r="A11" s="21">
        <v>1</v>
      </c>
      <c r="B11" s="43">
        <f t="shared" ref="B11:B70" si="1">IF(E10&gt;0,PMT($B$6/12,$B$7*$B$8,-$B$5,,1),0)</f>
        <v>0</v>
      </c>
      <c r="C11" s="232">
        <f>IF(E10&gt;0,B11-D11,0)+'(0) 3c. Cuadro Renting y L'!M21</f>
        <v>0</v>
      </c>
      <c r="D11" s="66">
        <f>B11</f>
        <v>0</v>
      </c>
      <c r="E11" s="67">
        <f>Capital-D11</f>
        <v>0</v>
      </c>
      <c r="F11" s="51"/>
      <c r="G11" s="4200">
        <f>IF($B$5=0,$N$3,IF(O3&gt;0,N3,IF(O4&gt;0,N4,IF(O5&gt;0,N5,IF(O6&gt;0,N6,N7)))))</f>
        <v>0</v>
      </c>
      <c r="H11" s="40" t="s">
        <v>17</v>
      </c>
      <c r="I11" s="41">
        <f>$B$11</f>
        <v>0</v>
      </c>
      <c r="J11" s="41">
        <f>C11</f>
        <v>0</v>
      </c>
      <c r="K11" s="68">
        <f>D11</f>
        <v>0</v>
      </c>
      <c r="L11" s="51"/>
      <c r="M11" s="4200">
        <f>'1.Datos Básicos. Product-Serv'!$B$7</f>
        <v>0</v>
      </c>
      <c r="N11" s="85" t="s">
        <v>17</v>
      </c>
      <c r="O11" s="41">
        <f>IF($I$6=1,I11,0)</f>
        <v>0</v>
      </c>
      <c r="P11" s="41">
        <f t="shared" ref="P11:Q22" si="2">IF($I$6=1,J11,0)</f>
        <v>0</v>
      </c>
      <c r="Q11" s="42">
        <f t="shared" si="2"/>
        <v>0</v>
      </c>
      <c r="R11" s="51"/>
    </row>
    <row r="12" spans="1:21" ht="15.75">
      <c r="A12" s="23">
        <v>2</v>
      </c>
      <c r="B12" s="43">
        <f t="shared" si="1"/>
        <v>0</v>
      </c>
      <c r="C12" s="65">
        <f t="shared" ref="C12:C70" si="3">IF(E11&gt;0,B12-D12,0)</f>
        <v>0</v>
      </c>
      <c r="D12" s="65">
        <f t="shared" ref="D12:D70" si="4">IF(E11&gt;0,B12-(E11*(Interes/12)),0)</f>
        <v>0</v>
      </c>
      <c r="E12" s="68">
        <f t="shared" ref="E12:E70" si="5">IF(E11&gt;0,IF((E11-D12)&gt;0.01,E11-D12,0),0)</f>
        <v>0</v>
      </c>
      <c r="F12" s="51"/>
      <c r="G12" s="4201"/>
      <c r="H12" s="40" t="s">
        <v>18</v>
      </c>
      <c r="I12" s="43">
        <f>IF($B$8=12,B12,0)</f>
        <v>0</v>
      </c>
      <c r="J12" s="43">
        <f>IF($B$8=12,C12,0)</f>
        <v>0</v>
      </c>
      <c r="K12" s="68">
        <f>IF($B$8=12,D12,0)</f>
        <v>0</v>
      </c>
      <c r="L12" s="51"/>
      <c r="M12" s="4201"/>
      <c r="N12" s="81" t="s">
        <v>18</v>
      </c>
      <c r="O12" s="43">
        <f t="shared" ref="O12:O22" si="6">IF($I$6=1,I12,0)</f>
        <v>0</v>
      </c>
      <c r="P12" s="43">
        <f t="shared" si="2"/>
        <v>0</v>
      </c>
      <c r="Q12" s="44">
        <f t="shared" si="2"/>
        <v>0</v>
      </c>
      <c r="R12" s="51"/>
    </row>
    <row r="13" spans="1:21" ht="15.75">
      <c r="A13" s="23">
        <v>3</v>
      </c>
      <c r="B13" s="43">
        <f t="shared" si="1"/>
        <v>0</v>
      </c>
      <c r="C13" s="65">
        <f t="shared" si="3"/>
        <v>0</v>
      </c>
      <c r="D13" s="65">
        <f t="shared" si="4"/>
        <v>0</v>
      </c>
      <c r="E13" s="68">
        <f t="shared" si="5"/>
        <v>0</v>
      </c>
      <c r="F13" s="51"/>
      <c r="G13" s="4201"/>
      <c r="H13" s="40" t="s">
        <v>19</v>
      </c>
      <c r="I13" s="43">
        <f>IF($B$8=12,B13,IF($B$8=6,B12,0))</f>
        <v>0</v>
      </c>
      <c r="J13" s="43">
        <f>IF($B$8=12,C13,IF($B$8=6,C12,0))</f>
        <v>0</v>
      </c>
      <c r="K13" s="68">
        <f>IF($B$8=12,D13,IF($B$8=6,D12,0))</f>
        <v>0</v>
      </c>
      <c r="L13" s="51"/>
      <c r="M13" s="4201"/>
      <c r="N13" s="81" t="s">
        <v>19</v>
      </c>
      <c r="O13" s="43">
        <f t="shared" si="6"/>
        <v>0</v>
      </c>
      <c r="P13" s="43">
        <f t="shared" si="2"/>
        <v>0</v>
      </c>
      <c r="Q13" s="44">
        <f t="shared" si="2"/>
        <v>0</v>
      </c>
      <c r="R13" s="51"/>
    </row>
    <row r="14" spans="1:21" ht="15.75">
      <c r="A14" s="23">
        <v>4</v>
      </c>
      <c r="B14" s="43">
        <f t="shared" si="1"/>
        <v>0</v>
      </c>
      <c r="C14" s="65">
        <f t="shared" si="3"/>
        <v>0</v>
      </c>
      <c r="D14" s="65">
        <f t="shared" si="4"/>
        <v>0</v>
      </c>
      <c r="E14" s="68">
        <f t="shared" si="5"/>
        <v>0</v>
      </c>
      <c r="F14" s="51"/>
      <c r="G14" s="4201"/>
      <c r="H14" s="40" t="s">
        <v>20</v>
      </c>
      <c r="I14" s="43">
        <f>IF($B$8=12,B14,IF($B$8=4,B12,IF($B$8=6,0,IF($B$8=3,0,0))))</f>
        <v>0</v>
      </c>
      <c r="J14" s="43">
        <f>IF($B$8=12,C14,IF($B$8=4,C12,IF($B$8=6,0,IF($B$8=3,0,0))))</f>
        <v>0</v>
      </c>
      <c r="K14" s="68">
        <f>IF($B$8=12,D14,IF($B$8=4,D12,IF($B$8=6,0,IF($B$8=3,0,0))))</f>
        <v>0</v>
      </c>
      <c r="L14" s="51"/>
      <c r="M14" s="4201"/>
      <c r="N14" s="81" t="s">
        <v>20</v>
      </c>
      <c r="O14" s="43">
        <f t="shared" si="6"/>
        <v>0</v>
      </c>
      <c r="P14" s="43">
        <f t="shared" si="2"/>
        <v>0</v>
      </c>
      <c r="Q14" s="44">
        <f t="shared" si="2"/>
        <v>0</v>
      </c>
      <c r="R14" s="51"/>
    </row>
    <row r="15" spans="1:21" ht="15.75">
      <c r="A15" s="23">
        <v>5</v>
      </c>
      <c r="B15" s="43">
        <f t="shared" si="1"/>
        <v>0</v>
      </c>
      <c r="C15" s="65">
        <f t="shared" si="3"/>
        <v>0</v>
      </c>
      <c r="D15" s="65">
        <f t="shared" si="4"/>
        <v>0</v>
      </c>
      <c r="E15" s="68">
        <f t="shared" si="5"/>
        <v>0</v>
      </c>
      <c r="F15" s="51"/>
      <c r="G15" s="4201"/>
      <c r="H15" s="40" t="s">
        <v>21</v>
      </c>
      <c r="I15" s="43">
        <f>IF($B$8=12,B15,IF($B$8=4,0,IF($B$8=6,B13,IF($B$8=3,B12,0))))</f>
        <v>0</v>
      </c>
      <c r="J15" s="43">
        <f>IF($B$8=12,C15,IF($B$8=4,0,IF($B$8=6,C13,IF($B$8=3,C12,0))))</f>
        <v>0</v>
      </c>
      <c r="K15" s="68">
        <f>IF($B$8=12,D15,IF($B$8=4,0,IF($B$8=6,D13,IF($B$8=3,D12,0))))</f>
        <v>0</v>
      </c>
      <c r="L15" s="51"/>
      <c r="M15" s="4201"/>
      <c r="N15" s="81" t="s">
        <v>21</v>
      </c>
      <c r="O15" s="43">
        <f t="shared" si="6"/>
        <v>0</v>
      </c>
      <c r="P15" s="43">
        <f t="shared" si="2"/>
        <v>0</v>
      </c>
      <c r="Q15" s="44">
        <f t="shared" si="2"/>
        <v>0</v>
      </c>
      <c r="R15" s="51"/>
    </row>
    <row r="16" spans="1:21" ht="15.75">
      <c r="A16" s="23">
        <v>6</v>
      </c>
      <c r="B16" s="43">
        <f t="shared" si="1"/>
        <v>0</v>
      </c>
      <c r="C16" s="65">
        <f t="shared" si="3"/>
        <v>0</v>
      </c>
      <c r="D16" s="65">
        <f t="shared" si="4"/>
        <v>0</v>
      </c>
      <c r="E16" s="68">
        <f t="shared" si="5"/>
        <v>0</v>
      </c>
      <c r="F16" s="51"/>
      <c r="G16" s="4201"/>
      <c r="H16" s="40" t="s">
        <v>22</v>
      </c>
      <c r="I16" s="43">
        <f>IF($B$8=12,B16,IF($B$8=4,0,IF($B$8=6,0,IF($B$8=3,0,0))))</f>
        <v>0</v>
      </c>
      <c r="J16" s="43">
        <f>IF($B$8=12,C16,IF($B$8=4,0,IF($B$8=6,0,IF($B$8=3,0,0))))</f>
        <v>0</v>
      </c>
      <c r="K16" s="68">
        <f>IF($B$8=12,D16,IF($B$8=4,0,IF($B$8=6,0,IF($B$8=3,0,0))))</f>
        <v>0</v>
      </c>
      <c r="L16" s="51"/>
      <c r="M16" s="4201"/>
      <c r="N16" s="81" t="s">
        <v>22</v>
      </c>
      <c r="O16" s="43">
        <f t="shared" si="6"/>
        <v>0</v>
      </c>
      <c r="P16" s="43">
        <f t="shared" si="2"/>
        <v>0</v>
      </c>
      <c r="Q16" s="44">
        <f t="shared" si="2"/>
        <v>0</v>
      </c>
      <c r="R16" s="51"/>
    </row>
    <row r="17" spans="1:18" ht="15.75">
      <c r="A17" s="23">
        <v>7</v>
      </c>
      <c r="B17" s="43">
        <f t="shared" si="1"/>
        <v>0</v>
      </c>
      <c r="C17" s="65">
        <f t="shared" si="3"/>
        <v>0</v>
      </c>
      <c r="D17" s="65">
        <f t="shared" si="4"/>
        <v>0</v>
      </c>
      <c r="E17" s="68">
        <f t="shared" si="5"/>
        <v>0</v>
      </c>
      <c r="F17" s="51"/>
      <c r="G17" s="4201"/>
      <c r="H17" s="40" t="s">
        <v>23</v>
      </c>
      <c r="I17" s="43">
        <f>IF($B$8=12,B17,IF($B$8=4,B13,IF($B$8=6,B14,IF($B$8=3,0,IF($B$8=2,B12,0)))))</f>
        <v>0</v>
      </c>
      <c r="J17" s="43">
        <f>IF($B$8=12,C17,IF($B$8=4,C13,IF($B$8=6,C14,IF($B$8=3,0,IF($B$8=2,C12,0)))))</f>
        <v>0</v>
      </c>
      <c r="K17" s="68">
        <f>IF($B$8=12,D17,IF($B$8=4,D13,IF($B$8=6,D14,IF($B$8=3,0,IF($B$8=2,D12,0)))))</f>
        <v>0</v>
      </c>
      <c r="L17" s="51"/>
      <c r="M17" s="4201"/>
      <c r="N17" s="81" t="s">
        <v>23</v>
      </c>
      <c r="O17" s="43">
        <f t="shared" si="6"/>
        <v>0</v>
      </c>
      <c r="P17" s="43">
        <f t="shared" si="2"/>
        <v>0</v>
      </c>
      <c r="Q17" s="44">
        <f t="shared" si="2"/>
        <v>0</v>
      </c>
      <c r="R17" s="51"/>
    </row>
    <row r="18" spans="1:18" ht="15.75">
      <c r="A18" s="23">
        <v>8</v>
      </c>
      <c r="B18" s="43">
        <f t="shared" si="1"/>
        <v>0</v>
      </c>
      <c r="C18" s="65">
        <f t="shared" si="3"/>
        <v>0</v>
      </c>
      <c r="D18" s="65">
        <f t="shared" si="4"/>
        <v>0</v>
      </c>
      <c r="E18" s="68">
        <f t="shared" si="5"/>
        <v>0</v>
      </c>
      <c r="F18" s="51"/>
      <c r="G18" s="4201"/>
      <c r="H18" s="40" t="s">
        <v>24</v>
      </c>
      <c r="I18" s="43">
        <f>IF($B$8=12,B18,IF($B$8=4,0,IF($B$8=6,0,IF($B$8=3,0,0))))</f>
        <v>0</v>
      </c>
      <c r="J18" s="43">
        <f>IF($B$8=12,C18,IF($B$8=4,0,IF($B$8=6,0,IF($B$8=3,0,0))))</f>
        <v>0</v>
      </c>
      <c r="K18" s="68">
        <f>IF($B$8=12,D18,IF($B$8=4,0,IF($B$8=6,0,IF($B$8=3,0,0))))</f>
        <v>0</v>
      </c>
      <c r="L18" s="51"/>
      <c r="M18" s="4201"/>
      <c r="N18" s="81" t="s">
        <v>24</v>
      </c>
      <c r="O18" s="43">
        <f t="shared" si="6"/>
        <v>0</v>
      </c>
      <c r="P18" s="43">
        <f t="shared" si="2"/>
        <v>0</v>
      </c>
      <c r="Q18" s="44">
        <f t="shared" si="2"/>
        <v>0</v>
      </c>
      <c r="R18" s="51"/>
    </row>
    <row r="19" spans="1:18" ht="15.75">
      <c r="A19" s="23">
        <v>9</v>
      </c>
      <c r="B19" s="43">
        <f t="shared" si="1"/>
        <v>0</v>
      </c>
      <c r="C19" s="65">
        <f t="shared" si="3"/>
        <v>0</v>
      </c>
      <c r="D19" s="65">
        <f t="shared" si="4"/>
        <v>0</v>
      </c>
      <c r="E19" s="68">
        <f t="shared" si="5"/>
        <v>0</v>
      </c>
      <c r="F19" s="51"/>
      <c r="G19" s="4201"/>
      <c r="H19" s="40" t="s">
        <v>25</v>
      </c>
      <c r="I19" s="43">
        <f>IF($B$8=12,B19,IF($B$8=4,0,IF($B$8=6,B15,IF($B$8=3,B13,0))))</f>
        <v>0</v>
      </c>
      <c r="J19" s="43">
        <f>IF($B$8=12,C19,IF($B$8=4,0,IF($B$8=6,C15,IF($B$8=3,C13,0))))</f>
        <v>0</v>
      </c>
      <c r="K19" s="68">
        <f>IF($B$8=12,D19,IF($B$8=4,0,IF($B$8=6,D15,IF($B$8=3,D13,0))))</f>
        <v>0</v>
      </c>
      <c r="L19" s="51"/>
      <c r="M19" s="4201"/>
      <c r="N19" s="81" t="s">
        <v>25</v>
      </c>
      <c r="O19" s="43">
        <f t="shared" si="6"/>
        <v>0</v>
      </c>
      <c r="P19" s="43">
        <f t="shared" si="2"/>
        <v>0</v>
      </c>
      <c r="Q19" s="44">
        <f t="shared" si="2"/>
        <v>0</v>
      </c>
      <c r="R19" s="51"/>
    </row>
    <row r="20" spans="1:18" ht="15.75">
      <c r="A20" s="23">
        <v>10</v>
      </c>
      <c r="B20" s="43">
        <f t="shared" si="1"/>
        <v>0</v>
      </c>
      <c r="C20" s="65">
        <f t="shared" si="3"/>
        <v>0</v>
      </c>
      <c r="D20" s="65">
        <f t="shared" si="4"/>
        <v>0</v>
      </c>
      <c r="E20" s="68">
        <f t="shared" si="5"/>
        <v>0</v>
      </c>
      <c r="F20" s="51"/>
      <c r="G20" s="4201"/>
      <c r="H20" s="40" t="s">
        <v>26</v>
      </c>
      <c r="I20" s="43">
        <f>IF($B$8=12,B20,IF($B$8=4,B14,IF($B$8=6,0,IF($B$8=3,0,0))))</f>
        <v>0</v>
      </c>
      <c r="J20" s="43">
        <f>IF($B$8=12,C20,IF($B$8=4,C14,IF($B$8=6,0,IF($B$8=3,0,0))))</f>
        <v>0</v>
      </c>
      <c r="K20" s="68">
        <f>IF($B$8=12,D20,IF($B$8=4,D14,IF($B$8=6,0,IF($B$8=3,0,0))))</f>
        <v>0</v>
      </c>
      <c r="L20" s="51"/>
      <c r="M20" s="4201"/>
      <c r="N20" s="81" t="s">
        <v>26</v>
      </c>
      <c r="O20" s="43">
        <f t="shared" si="6"/>
        <v>0</v>
      </c>
      <c r="P20" s="43">
        <f t="shared" si="2"/>
        <v>0</v>
      </c>
      <c r="Q20" s="44">
        <f t="shared" si="2"/>
        <v>0</v>
      </c>
      <c r="R20" s="51"/>
    </row>
    <row r="21" spans="1:18" ht="15.75">
      <c r="A21" s="23">
        <v>11</v>
      </c>
      <c r="B21" s="43">
        <f t="shared" si="1"/>
        <v>0</v>
      </c>
      <c r="C21" s="65">
        <f t="shared" si="3"/>
        <v>0</v>
      </c>
      <c r="D21" s="65">
        <f t="shared" si="4"/>
        <v>0</v>
      </c>
      <c r="E21" s="68">
        <f t="shared" si="5"/>
        <v>0</v>
      </c>
      <c r="F21" s="51"/>
      <c r="G21" s="4201"/>
      <c r="H21" s="40" t="s">
        <v>27</v>
      </c>
      <c r="I21" s="43">
        <f>IF($B$8=12,B21,IF($B$8=4,0,IF($B$8=6,B16,IF($B$8=3,0,0))))</f>
        <v>0</v>
      </c>
      <c r="J21" s="43">
        <f>IF($B$8=12,C21,IF($B$8=4,0,IF($B$8=6,C16,IF($B$8=3,0,0))))</f>
        <v>0</v>
      </c>
      <c r="K21" s="68">
        <f>IF($B$8=12,D21,IF($B$8=4,0,IF($B$8=6,D16,IF($B$8=3,0,0))))</f>
        <v>0</v>
      </c>
      <c r="L21" s="51"/>
      <c r="M21" s="4201"/>
      <c r="N21" s="81" t="s">
        <v>27</v>
      </c>
      <c r="O21" s="43">
        <f t="shared" si="6"/>
        <v>0</v>
      </c>
      <c r="P21" s="43">
        <f t="shared" si="2"/>
        <v>0</v>
      </c>
      <c r="Q21" s="44">
        <f t="shared" si="2"/>
        <v>0</v>
      </c>
      <c r="R21" s="51"/>
    </row>
    <row r="22" spans="1:18" ht="16.5" thickBot="1">
      <c r="A22" s="24">
        <v>12</v>
      </c>
      <c r="B22" s="70">
        <f t="shared" si="1"/>
        <v>0</v>
      </c>
      <c r="C22" s="71">
        <f t="shared" si="3"/>
        <v>0</v>
      </c>
      <c r="D22" s="71">
        <f t="shared" si="4"/>
        <v>0</v>
      </c>
      <c r="E22" s="68">
        <f t="shared" si="5"/>
        <v>0</v>
      </c>
      <c r="F22" s="243">
        <f>SUM(D11:D22)</f>
        <v>0</v>
      </c>
      <c r="G22" s="4202"/>
      <c r="H22" s="73" t="s">
        <v>28</v>
      </c>
      <c r="I22" s="70">
        <f>IF($B$8=12,B22,IF($B$8=4,0,IF($B$8=6,0,IF($B$8=3,0,0))))</f>
        <v>0</v>
      </c>
      <c r="J22" s="70">
        <f>IF($B$8=12,C22,IF($B$8=4,0,IF($B$8=6,0,IF($B$8=3,0,0))))</f>
        <v>0</v>
      </c>
      <c r="K22" s="72">
        <f>IF($B$8=12,D22,IF($B$8=4,0,IF($B$8=6,0,IF($B$8=3,0,0))))</f>
        <v>0</v>
      </c>
      <c r="L22" s="51"/>
      <c r="M22" s="4202"/>
      <c r="N22" s="86" t="s">
        <v>28</v>
      </c>
      <c r="O22" s="45">
        <f t="shared" si="6"/>
        <v>0</v>
      </c>
      <c r="P22" s="45">
        <f t="shared" si="2"/>
        <v>0</v>
      </c>
      <c r="Q22" s="46">
        <f t="shared" si="2"/>
        <v>0</v>
      </c>
      <c r="R22" s="51"/>
    </row>
    <row r="23" spans="1:18" ht="15.75">
      <c r="A23" s="23">
        <v>13</v>
      </c>
      <c r="B23" s="43">
        <f t="shared" si="1"/>
        <v>0</v>
      </c>
      <c r="C23" s="65">
        <f t="shared" si="3"/>
        <v>0</v>
      </c>
      <c r="D23" s="65">
        <f t="shared" si="4"/>
        <v>0</v>
      </c>
      <c r="E23" s="109">
        <f t="shared" si="5"/>
        <v>0</v>
      </c>
      <c r="F23" s="51"/>
      <c r="G23" s="4200">
        <f>G11+1</f>
        <v>1</v>
      </c>
      <c r="H23" s="40" t="s">
        <v>17</v>
      </c>
      <c r="I23" s="43">
        <f>IF($B$8=12,B23,IF($B$8=4,B15,IF($B$8=6,B17,IF($B$8=3,B14,IF($B$8=2,B13,IF($B$8,B12,0))))))</f>
        <v>0</v>
      </c>
      <c r="J23" s="43">
        <f>IF($B$8=12,C23,IF($B$8=4,C15,IF($B$8=6,C17,IF($B$8=3,C14,IF($B$8=2,C13,IF($B$8,C12,0))))))</f>
        <v>0</v>
      </c>
      <c r="K23" s="44">
        <f>IF($B$8=12,D23,IF($B$8=4,D15,IF($B$8=6,D17,IF($B$8=3,D14,IF($B$8=2,D13,IF($B$8,D12,0))))))</f>
        <v>0</v>
      </c>
      <c r="L23" s="51"/>
      <c r="M23" s="4200">
        <f>'1.Datos Básicos. Product-Serv'!$B$7+1</f>
        <v>1</v>
      </c>
      <c r="N23" s="81" t="s">
        <v>17</v>
      </c>
      <c r="O23" s="43">
        <f>IF($I$6=2,I11,IF($I$6=1,I23,0))</f>
        <v>0</v>
      </c>
      <c r="P23" s="43">
        <f t="shared" ref="P23:Q34" si="7">IF($I$6=2,J11,IF($I$6=1,J23,0))</f>
        <v>0</v>
      </c>
      <c r="Q23" s="44">
        <f t="shared" si="7"/>
        <v>0</v>
      </c>
      <c r="R23" s="51"/>
    </row>
    <row r="24" spans="1:18" ht="15.75">
      <c r="A24" s="23">
        <v>14</v>
      </c>
      <c r="B24" s="43">
        <f t="shared" si="1"/>
        <v>0</v>
      </c>
      <c r="C24" s="65">
        <f t="shared" si="3"/>
        <v>0</v>
      </c>
      <c r="D24" s="65">
        <f t="shared" si="4"/>
        <v>0</v>
      </c>
      <c r="E24" s="68">
        <f t="shared" si="5"/>
        <v>0</v>
      </c>
      <c r="F24" s="51"/>
      <c r="G24" s="4201"/>
      <c r="H24" s="40" t="s">
        <v>18</v>
      </c>
      <c r="I24" s="43">
        <f>IF($B$8=12,B24,0)</f>
        <v>0</v>
      </c>
      <c r="J24" s="43">
        <f>IF($B$8=12,C24,0)</f>
        <v>0</v>
      </c>
      <c r="K24" s="44">
        <f>IF($B$8=12,D24,0)</f>
        <v>0</v>
      </c>
      <c r="L24" s="51"/>
      <c r="M24" s="4201"/>
      <c r="N24" s="81" t="s">
        <v>18</v>
      </c>
      <c r="O24" s="43">
        <f t="shared" ref="O24:O34" si="8">IF($I$6=2,I12,IF($I$6=1,I24,0))</f>
        <v>0</v>
      </c>
      <c r="P24" s="43">
        <f t="shared" si="7"/>
        <v>0</v>
      </c>
      <c r="Q24" s="44">
        <f t="shared" si="7"/>
        <v>0</v>
      </c>
      <c r="R24" s="51"/>
    </row>
    <row r="25" spans="1:18" ht="15.75">
      <c r="A25" s="23">
        <v>15</v>
      </c>
      <c r="B25" s="43">
        <f t="shared" si="1"/>
        <v>0</v>
      </c>
      <c r="C25" s="65">
        <f t="shared" si="3"/>
        <v>0</v>
      </c>
      <c r="D25" s="65">
        <f t="shared" si="4"/>
        <v>0</v>
      </c>
      <c r="E25" s="68">
        <f t="shared" si="5"/>
        <v>0</v>
      </c>
      <c r="F25" s="51"/>
      <c r="G25" s="4201"/>
      <c r="H25" s="40" t="s">
        <v>19</v>
      </c>
      <c r="I25" s="43">
        <f>IF($B$8=12,B25,IF($B$8=6,B18,0))</f>
        <v>0</v>
      </c>
      <c r="J25" s="43">
        <f>IF($B$8=12,C25,IF($B$8=6,C18,0))</f>
        <v>0</v>
      </c>
      <c r="K25" s="44">
        <f>IF($B$8=12,D25,IF($B$8=6,D18,0))</f>
        <v>0</v>
      </c>
      <c r="L25" s="51"/>
      <c r="M25" s="4201"/>
      <c r="N25" s="81" t="s">
        <v>19</v>
      </c>
      <c r="O25" s="43">
        <f t="shared" si="8"/>
        <v>0</v>
      </c>
      <c r="P25" s="43">
        <f t="shared" si="7"/>
        <v>0</v>
      </c>
      <c r="Q25" s="44">
        <f t="shared" si="7"/>
        <v>0</v>
      </c>
      <c r="R25" s="51"/>
    </row>
    <row r="26" spans="1:18" ht="15.75">
      <c r="A26" s="23">
        <v>16</v>
      </c>
      <c r="B26" s="43">
        <f t="shared" si="1"/>
        <v>0</v>
      </c>
      <c r="C26" s="65">
        <f t="shared" si="3"/>
        <v>0</v>
      </c>
      <c r="D26" s="65">
        <f t="shared" si="4"/>
        <v>0</v>
      </c>
      <c r="E26" s="68">
        <f t="shared" si="5"/>
        <v>0</v>
      </c>
      <c r="F26" s="51"/>
      <c r="G26" s="4201"/>
      <c r="H26" s="40" t="s">
        <v>20</v>
      </c>
      <c r="I26" s="43">
        <f>IF($B$8=12,B26,IF($B$8=4,B16,IF($B$8=6,0,IF($B$8=3,0,0))))</f>
        <v>0</v>
      </c>
      <c r="J26" s="43">
        <f>IF($B$8=12,C26,IF($B$8=4,C16,IF($B$8=6,0,IF($B$8=3,0,0))))</f>
        <v>0</v>
      </c>
      <c r="K26" s="44">
        <f>IF($B$8=12,D26,IF($B$8=4,D16,IF($B$8=6,0,IF($B$8=3,0,0))))</f>
        <v>0</v>
      </c>
      <c r="L26" s="51"/>
      <c r="M26" s="4201"/>
      <c r="N26" s="81" t="s">
        <v>20</v>
      </c>
      <c r="O26" s="43">
        <f t="shared" si="8"/>
        <v>0</v>
      </c>
      <c r="P26" s="43">
        <f t="shared" si="7"/>
        <v>0</v>
      </c>
      <c r="Q26" s="44">
        <f t="shared" si="7"/>
        <v>0</v>
      </c>
      <c r="R26" s="51"/>
    </row>
    <row r="27" spans="1:18" ht="15.75">
      <c r="A27" s="23">
        <v>17</v>
      </c>
      <c r="B27" s="43">
        <f t="shared" si="1"/>
        <v>0</v>
      </c>
      <c r="C27" s="65">
        <f t="shared" si="3"/>
        <v>0</v>
      </c>
      <c r="D27" s="65">
        <f t="shared" si="4"/>
        <v>0</v>
      </c>
      <c r="E27" s="68">
        <f t="shared" si="5"/>
        <v>0</v>
      </c>
      <c r="F27" s="51"/>
      <c r="G27" s="4201"/>
      <c r="H27" s="40" t="s">
        <v>21</v>
      </c>
      <c r="I27" s="43">
        <f>IF($B$8=12,B27,IF($B$8=4,0,IF($B$8=6,B19,IF($B$8=3,B15,0))))</f>
        <v>0</v>
      </c>
      <c r="J27" s="43">
        <f>IF($B$8=12,C27,IF($B$8=4,0,IF($B$8=6,C19,IF($B$8=3,C15,0))))</f>
        <v>0</v>
      </c>
      <c r="K27" s="44">
        <f>IF($B$8=12,D27,IF($B$8=4,0,IF($B$8=6,D19,IF($B$8=3,D15,0))))</f>
        <v>0</v>
      </c>
      <c r="L27" s="51"/>
      <c r="M27" s="4201"/>
      <c r="N27" s="81" t="s">
        <v>21</v>
      </c>
      <c r="O27" s="43">
        <f t="shared" si="8"/>
        <v>0</v>
      </c>
      <c r="P27" s="43">
        <f t="shared" si="7"/>
        <v>0</v>
      </c>
      <c r="Q27" s="44">
        <f t="shared" si="7"/>
        <v>0</v>
      </c>
      <c r="R27" s="51"/>
    </row>
    <row r="28" spans="1:18" ht="15.75">
      <c r="A28" s="23">
        <v>18</v>
      </c>
      <c r="B28" s="43">
        <f t="shared" si="1"/>
        <v>0</v>
      </c>
      <c r="C28" s="65">
        <f t="shared" si="3"/>
        <v>0</v>
      </c>
      <c r="D28" s="65">
        <f t="shared" si="4"/>
        <v>0</v>
      </c>
      <c r="E28" s="68">
        <f t="shared" si="5"/>
        <v>0</v>
      </c>
      <c r="F28" s="51"/>
      <c r="G28" s="4201"/>
      <c r="H28" s="40" t="s">
        <v>22</v>
      </c>
      <c r="I28" s="43">
        <f>IF($B$8=12,B28,IF($B$8=4,0,IF($B$8=6,0,IF($B$8=3,0,0))))</f>
        <v>0</v>
      </c>
      <c r="J28" s="43">
        <f>IF($B$8=12,C28,IF($B$8=4,0,IF($B$8=6,0,IF($B$8=3,0,0))))</f>
        <v>0</v>
      </c>
      <c r="K28" s="44">
        <f>IF($B$8=12,D28,IF($B$8=4,0,IF($B$8=6,0,IF($B$8=3,0,0))))</f>
        <v>0</v>
      </c>
      <c r="L28" s="51"/>
      <c r="M28" s="4201"/>
      <c r="N28" s="81" t="s">
        <v>22</v>
      </c>
      <c r="O28" s="43">
        <f t="shared" si="8"/>
        <v>0</v>
      </c>
      <c r="P28" s="43">
        <f t="shared" si="7"/>
        <v>0</v>
      </c>
      <c r="Q28" s="44">
        <f t="shared" si="7"/>
        <v>0</v>
      </c>
      <c r="R28" s="51"/>
    </row>
    <row r="29" spans="1:18" ht="15.75">
      <c r="A29" s="23">
        <v>19</v>
      </c>
      <c r="B29" s="43">
        <f t="shared" si="1"/>
        <v>0</v>
      </c>
      <c r="C29" s="65">
        <f t="shared" si="3"/>
        <v>0</v>
      </c>
      <c r="D29" s="65">
        <f t="shared" si="4"/>
        <v>0</v>
      </c>
      <c r="E29" s="68">
        <f t="shared" si="5"/>
        <v>0</v>
      </c>
      <c r="F29" s="51"/>
      <c r="G29" s="4201"/>
      <c r="H29" s="40" t="s">
        <v>23</v>
      </c>
      <c r="I29" s="43">
        <f>IF($B$8=12,B29,IF($B$8=4,B17,IF($B$8=6,B20,IF($B$8=3,0,IF($B$8=2,B14,0)))))</f>
        <v>0</v>
      </c>
      <c r="J29" s="43">
        <f>IF($B$8=12,C29,IF($B$8=4,C17,IF($B$8=6,C20,IF($B$8=3,0,IF($B$8=2,C14,0)))))</f>
        <v>0</v>
      </c>
      <c r="K29" s="44">
        <f>IF($B$8=12,D29,IF($B$8=4,D17,IF($B$8=6,D20,IF($B$8=3,0,IF($B$8=2,D14,0)))))</f>
        <v>0</v>
      </c>
      <c r="L29" s="51"/>
      <c r="M29" s="4201"/>
      <c r="N29" s="81" t="s">
        <v>23</v>
      </c>
      <c r="O29" s="43">
        <f t="shared" si="8"/>
        <v>0</v>
      </c>
      <c r="P29" s="43">
        <f t="shared" si="7"/>
        <v>0</v>
      </c>
      <c r="Q29" s="44">
        <f t="shared" si="7"/>
        <v>0</v>
      </c>
      <c r="R29" s="51"/>
    </row>
    <row r="30" spans="1:18" ht="15.75">
      <c r="A30" s="23">
        <v>20</v>
      </c>
      <c r="B30" s="43">
        <f t="shared" si="1"/>
        <v>0</v>
      </c>
      <c r="C30" s="65">
        <f t="shared" si="3"/>
        <v>0</v>
      </c>
      <c r="D30" s="65">
        <f t="shared" si="4"/>
        <v>0</v>
      </c>
      <c r="E30" s="68">
        <f t="shared" si="5"/>
        <v>0</v>
      </c>
      <c r="F30" s="51"/>
      <c r="G30" s="4201"/>
      <c r="H30" s="40" t="s">
        <v>24</v>
      </c>
      <c r="I30" s="43">
        <f>IF($B$8=12,B30,IF($B$8=4,0,IF($B$8=6,0,IF($B$8=3,0,0))))</f>
        <v>0</v>
      </c>
      <c r="J30" s="43">
        <f>IF($B$8=12,C30,IF($B$8=4,0,IF($B$8=6,0,IF($B$8=3,0,0))))</f>
        <v>0</v>
      </c>
      <c r="K30" s="44">
        <f>IF($B$8=12,D30,IF($B$8=4,0,IF($B$8=6,0,IF($B$8=3,0,0))))</f>
        <v>0</v>
      </c>
      <c r="L30" s="51"/>
      <c r="M30" s="4201"/>
      <c r="N30" s="81" t="s">
        <v>24</v>
      </c>
      <c r="O30" s="43">
        <f t="shared" si="8"/>
        <v>0</v>
      </c>
      <c r="P30" s="43">
        <f t="shared" si="7"/>
        <v>0</v>
      </c>
      <c r="Q30" s="44">
        <f t="shared" si="7"/>
        <v>0</v>
      </c>
      <c r="R30" s="51"/>
    </row>
    <row r="31" spans="1:18" ht="15.75">
      <c r="A31" s="23">
        <v>21</v>
      </c>
      <c r="B31" s="43">
        <f t="shared" si="1"/>
        <v>0</v>
      </c>
      <c r="C31" s="65">
        <f t="shared" si="3"/>
        <v>0</v>
      </c>
      <c r="D31" s="65">
        <f t="shared" si="4"/>
        <v>0</v>
      </c>
      <c r="E31" s="68">
        <f t="shared" si="5"/>
        <v>0</v>
      </c>
      <c r="F31" s="51"/>
      <c r="G31" s="4201"/>
      <c r="H31" s="40" t="s">
        <v>25</v>
      </c>
      <c r="I31" s="43">
        <f>IF($B$8=12,B31,IF($B$8=4,0,IF($B$8=6,B21,IF($B$8=3,B16,0))))</f>
        <v>0</v>
      </c>
      <c r="J31" s="43">
        <f>IF($B$8=12,C31,IF($B$8=4,0,IF($B$8=6,C21,IF($B$8=3,C16,0))))</f>
        <v>0</v>
      </c>
      <c r="K31" s="44">
        <f>IF($B$8=12,D31,IF($B$8=4,0,IF($B$8=6,D21,IF($B$8=3,D16,0))))</f>
        <v>0</v>
      </c>
      <c r="L31" s="51"/>
      <c r="M31" s="4201"/>
      <c r="N31" s="81" t="s">
        <v>25</v>
      </c>
      <c r="O31" s="43">
        <f t="shared" si="8"/>
        <v>0</v>
      </c>
      <c r="P31" s="43">
        <f t="shared" si="7"/>
        <v>0</v>
      </c>
      <c r="Q31" s="44">
        <f t="shared" si="7"/>
        <v>0</v>
      </c>
      <c r="R31" s="51"/>
    </row>
    <row r="32" spans="1:18" ht="15.75">
      <c r="A32" s="23">
        <v>22</v>
      </c>
      <c r="B32" s="43">
        <f t="shared" si="1"/>
        <v>0</v>
      </c>
      <c r="C32" s="65">
        <f t="shared" si="3"/>
        <v>0</v>
      </c>
      <c r="D32" s="65">
        <f t="shared" si="4"/>
        <v>0</v>
      </c>
      <c r="E32" s="68">
        <f t="shared" si="5"/>
        <v>0</v>
      </c>
      <c r="F32" s="51"/>
      <c r="G32" s="4201"/>
      <c r="H32" s="40" t="s">
        <v>26</v>
      </c>
      <c r="I32" s="43">
        <f>IF($B$8=12,B32,IF($B$8=4,B18,IF($B$8=6,0,IF($B$8=3,0,0))))</f>
        <v>0</v>
      </c>
      <c r="J32" s="43">
        <f>IF($B$8=12,C32,IF($B$8=4,C18,IF($B$8=6,0,IF($B$8=3,0,0))))</f>
        <v>0</v>
      </c>
      <c r="K32" s="44">
        <f>IF($B$8=12,D32,IF($B$8=4,D18,IF($B$8=6,0,IF($B$8=3,0,0))))</f>
        <v>0</v>
      </c>
      <c r="L32" s="51"/>
      <c r="M32" s="4201"/>
      <c r="N32" s="81" t="s">
        <v>26</v>
      </c>
      <c r="O32" s="43">
        <f t="shared" si="8"/>
        <v>0</v>
      </c>
      <c r="P32" s="43">
        <f t="shared" si="7"/>
        <v>0</v>
      </c>
      <c r="Q32" s="44">
        <f t="shared" si="7"/>
        <v>0</v>
      </c>
      <c r="R32" s="51"/>
    </row>
    <row r="33" spans="1:18" ht="15.75">
      <c r="A33" s="23">
        <v>23</v>
      </c>
      <c r="B33" s="43">
        <f t="shared" si="1"/>
        <v>0</v>
      </c>
      <c r="C33" s="65">
        <f t="shared" si="3"/>
        <v>0</v>
      </c>
      <c r="D33" s="65">
        <f t="shared" si="4"/>
        <v>0</v>
      </c>
      <c r="E33" s="68">
        <f t="shared" si="5"/>
        <v>0</v>
      </c>
      <c r="F33" s="51"/>
      <c r="G33" s="4201"/>
      <c r="H33" s="40" t="s">
        <v>27</v>
      </c>
      <c r="I33" s="43">
        <f>IF($B$8=12,B33,IF($B$8=4,0,IF($B$8=6,B22,IF($B$8=3,0,0))))</f>
        <v>0</v>
      </c>
      <c r="J33" s="43">
        <f>IF($B$8=12,C33,IF($B$8=4,0,IF($B$8=6,C22,IF($B$8=3,0,0))))</f>
        <v>0</v>
      </c>
      <c r="K33" s="44">
        <f>IF($B$8=12,D33,IF($B$8=4,0,IF($B$8=6,D22,IF($B$8=3,0,0))))</f>
        <v>0</v>
      </c>
      <c r="L33" s="51"/>
      <c r="M33" s="4201"/>
      <c r="N33" s="81" t="s">
        <v>27</v>
      </c>
      <c r="O33" s="43">
        <f t="shared" si="8"/>
        <v>0</v>
      </c>
      <c r="P33" s="43">
        <f t="shared" si="7"/>
        <v>0</v>
      </c>
      <c r="Q33" s="44">
        <f t="shared" si="7"/>
        <v>0</v>
      </c>
      <c r="R33" s="51"/>
    </row>
    <row r="34" spans="1:18" ht="16.5" thickBot="1">
      <c r="A34" s="24">
        <v>24</v>
      </c>
      <c r="B34" s="70">
        <f t="shared" si="1"/>
        <v>0</v>
      </c>
      <c r="C34" s="71">
        <f t="shared" si="3"/>
        <v>0</v>
      </c>
      <c r="D34" s="71">
        <f t="shared" si="4"/>
        <v>0</v>
      </c>
      <c r="E34" s="68">
        <f t="shared" si="5"/>
        <v>0</v>
      </c>
      <c r="F34" s="243">
        <f>SUM(D23:D34)</f>
        <v>0</v>
      </c>
      <c r="G34" s="4202"/>
      <c r="H34" s="73" t="s">
        <v>28</v>
      </c>
      <c r="I34" s="70">
        <f>IF($B$8=12,B34,IF($B$8=4,0,IF($B$8=6,0,IF($B$8=3,0,0))))</f>
        <v>0</v>
      </c>
      <c r="J34" s="70">
        <f>IF($B$8=12,C34,IF($B$8=4,0,IF($B$8=6,0,IF($B$8=3,0,0))))</f>
        <v>0</v>
      </c>
      <c r="K34" s="75">
        <f>IF($B$8=12,D34,IF($B$8=4,0,IF($B$8=6,0,IF($B$8=3,0,0))))</f>
        <v>0</v>
      </c>
      <c r="L34" s="51"/>
      <c r="M34" s="4202"/>
      <c r="N34" s="86" t="s">
        <v>28</v>
      </c>
      <c r="O34" s="43">
        <f t="shared" si="8"/>
        <v>0</v>
      </c>
      <c r="P34" s="43">
        <f t="shared" si="7"/>
        <v>0</v>
      </c>
      <c r="Q34" s="46">
        <f t="shared" si="7"/>
        <v>0</v>
      </c>
      <c r="R34" s="51"/>
    </row>
    <row r="35" spans="1:18" ht="15.75">
      <c r="A35" s="23">
        <v>25</v>
      </c>
      <c r="B35" s="43">
        <f t="shared" si="1"/>
        <v>0</v>
      </c>
      <c r="C35" s="65">
        <f t="shared" si="3"/>
        <v>0</v>
      </c>
      <c r="D35" s="65">
        <f t="shared" si="4"/>
        <v>0</v>
      </c>
      <c r="E35" s="109">
        <f t="shared" si="5"/>
        <v>0</v>
      </c>
      <c r="F35" s="51"/>
      <c r="G35" s="4200">
        <f>G23+1</f>
        <v>2</v>
      </c>
      <c r="H35" s="40" t="s">
        <v>17</v>
      </c>
      <c r="I35" s="43">
        <f>IF($B$8=12,B35,IF($B$8=4,B19,IF($B$8=6,B23,IF($B$8=3,B17,IF($B$8=2,B15,IF($B$8=1,B13,0))))))</f>
        <v>0</v>
      </c>
      <c r="J35" s="43">
        <f>IF($B$8=12,C35,IF($B$8=4,C19,IF($B$8=6,C23,IF($B$8=3,C17,IF($B$8=2,C15,IF($B$8=1,C13,0))))))</f>
        <v>0</v>
      </c>
      <c r="K35" s="44">
        <f>IF($B$8=12,D35,IF($B$8=4,D19,IF($B$8=6,D23,IF($B$8=3,D17,IF($B$8=2,D15,IF($B$8=1,D13,0))))))</f>
        <v>0</v>
      </c>
      <c r="L35" s="51"/>
      <c r="M35" s="4200">
        <f>'1.Datos Básicos. Product-Serv'!$B$7+2</f>
        <v>2</v>
      </c>
      <c r="N35" s="81" t="s">
        <v>17</v>
      </c>
      <c r="O35" s="76">
        <f>IF($I$6=3,I11,IF($I$6=2,I23,IF($I$6=1,I35,0)))</f>
        <v>0</v>
      </c>
      <c r="P35" s="76">
        <f t="shared" ref="P35:Q46" si="9">IF($I$6=3,J11,IF($I$6=2,J23,IF($I$6=1,J35,0)))</f>
        <v>0</v>
      </c>
      <c r="Q35" s="77">
        <f t="shared" si="9"/>
        <v>0</v>
      </c>
      <c r="R35" s="51"/>
    </row>
    <row r="36" spans="1:18" ht="15.75">
      <c r="A36" s="23">
        <v>26</v>
      </c>
      <c r="B36" s="43">
        <f t="shared" si="1"/>
        <v>0</v>
      </c>
      <c r="C36" s="65">
        <f t="shared" si="3"/>
        <v>0</v>
      </c>
      <c r="D36" s="65">
        <f t="shared" si="4"/>
        <v>0</v>
      </c>
      <c r="E36" s="68">
        <f t="shared" si="5"/>
        <v>0</v>
      </c>
      <c r="F36" s="51"/>
      <c r="G36" s="4201"/>
      <c r="H36" s="40" t="s">
        <v>18</v>
      </c>
      <c r="I36" s="43">
        <f>IF($B$8=12,B36,0)</f>
        <v>0</v>
      </c>
      <c r="J36" s="43">
        <f>IF($B$8=12,C36,0)</f>
        <v>0</v>
      </c>
      <c r="K36" s="44">
        <f>IF($B$8=12,D36,0)</f>
        <v>0</v>
      </c>
      <c r="L36" s="51"/>
      <c r="M36" s="4201"/>
      <c r="N36" s="81" t="s">
        <v>18</v>
      </c>
      <c r="O36" s="43">
        <f t="shared" ref="O36:O46" si="10">IF($I$6=3,I12,IF($I$6=2,I24,IF($I$6=1,I36,0)))</f>
        <v>0</v>
      </c>
      <c r="P36" s="43">
        <f t="shared" si="9"/>
        <v>0</v>
      </c>
      <c r="Q36" s="44">
        <f t="shared" si="9"/>
        <v>0</v>
      </c>
      <c r="R36" s="51"/>
    </row>
    <row r="37" spans="1:18" ht="15.75">
      <c r="A37" s="23">
        <v>27</v>
      </c>
      <c r="B37" s="43">
        <f t="shared" si="1"/>
        <v>0</v>
      </c>
      <c r="C37" s="65">
        <f t="shared" si="3"/>
        <v>0</v>
      </c>
      <c r="D37" s="65">
        <f t="shared" si="4"/>
        <v>0</v>
      </c>
      <c r="E37" s="68">
        <f t="shared" si="5"/>
        <v>0</v>
      </c>
      <c r="F37" s="51"/>
      <c r="G37" s="4201"/>
      <c r="H37" s="40" t="s">
        <v>19</v>
      </c>
      <c r="I37" s="43">
        <f>IF($B$8=12,B37,IF($B$8=6,B24,0))</f>
        <v>0</v>
      </c>
      <c r="J37" s="43">
        <f>IF($B$8=12,C37,IF($B$8=6,C24,0))</f>
        <v>0</v>
      </c>
      <c r="K37" s="44">
        <f>IF($B$8=12,D37,IF($B$8=6,D24,0))</f>
        <v>0</v>
      </c>
      <c r="L37" s="51"/>
      <c r="M37" s="4201"/>
      <c r="N37" s="81" t="s">
        <v>19</v>
      </c>
      <c r="O37" s="43">
        <f t="shared" si="10"/>
        <v>0</v>
      </c>
      <c r="P37" s="43">
        <f t="shared" si="9"/>
        <v>0</v>
      </c>
      <c r="Q37" s="44">
        <f t="shared" si="9"/>
        <v>0</v>
      </c>
      <c r="R37" s="51"/>
    </row>
    <row r="38" spans="1:18" ht="15.75">
      <c r="A38" s="23">
        <v>28</v>
      </c>
      <c r="B38" s="43">
        <f t="shared" si="1"/>
        <v>0</v>
      </c>
      <c r="C38" s="65">
        <f t="shared" si="3"/>
        <v>0</v>
      </c>
      <c r="D38" s="65">
        <f t="shared" si="4"/>
        <v>0</v>
      </c>
      <c r="E38" s="68">
        <f t="shared" si="5"/>
        <v>0</v>
      </c>
      <c r="F38" s="51"/>
      <c r="G38" s="4201"/>
      <c r="H38" s="40" t="s">
        <v>20</v>
      </c>
      <c r="I38" s="43">
        <f>IF($B$8=12,B38,IF($B$8=4,B20,IF($B$8=6,0,IF($B$8=3,0,0))))</f>
        <v>0</v>
      </c>
      <c r="J38" s="43">
        <f>IF($B$8=12,C38,IF($B$8=4,C20,IF($B$8=6,0,IF($B$8=3,0,0))))</f>
        <v>0</v>
      </c>
      <c r="K38" s="44">
        <f>IF($B$8=12,D38,IF($B$8=4,D20,IF($B$8=6,0,IF($B$8=3,0,0))))</f>
        <v>0</v>
      </c>
      <c r="L38" s="51"/>
      <c r="M38" s="4201"/>
      <c r="N38" s="81" t="s">
        <v>20</v>
      </c>
      <c r="O38" s="43">
        <f t="shared" si="10"/>
        <v>0</v>
      </c>
      <c r="P38" s="43">
        <f t="shared" si="9"/>
        <v>0</v>
      </c>
      <c r="Q38" s="44">
        <f t="shared" si="9"/>
        <v>0</v>
      </c>
      <c r="R38" s="51"/>
    </row>
    <row r="39" spans="1:18" ht="15.75">
      <c r="A39" s="23">
        <v>29</v>
      </c>
      <c r="B39" s="43">
        <f t="shared" si="1"/>
        <v>0</v>
      </c>
      <c r="C39" s="65">
        <f t="shared" si="3"/>
        <v>0</v>
      </c>
      <c r="D39" s="65">
        <f t="shared" si="4"/>
        <v>0</v>
      </c>
      <c r="E39" s="68">
        <f t="shared" si="5"/>
        <v>0</v>
      </c>
      <c r="F39" s="51"/>
      <c r="G39" s="4201"/>
      <c r="H39" s="40" t="s">
        <v>21</v>
      </c>
      <c r="I39" s="43">
        <f>IF($B$8=12,B39,IF($B$8=4,0,IF($B$8=6,B25,IF($B$8=3,B18,0))))</f>
        <v>0</v>
      </c>
      <c r="J39" s="43">
        <f>IF($B$8=12,C39,IF($B$8=4,0,IF($B$8=6,C25,IF($B$8=3,C18,0))))</f>
        <v>0</v>
      </c>
      <c r="K39" s="44">
        <f>IF($B$8=12,D39,IF($B$8=4,0,IF($B$8=6,D25,IF($B$8=3,D18,0))))</f>
        <v>0</v>
      </c>
      <c r="L39" s="51"/>
      <c r="M39" s="4201"/>
      <c r="N39" s="81" t="s">
        <v>21</v>
      </c>
      <c r="O39" s="43">
        <f t="shared" si="10"/>
        <v>0</v>
      </c>
      <c r="P39" s="43">
        <f t="shared" si="9"/>
        <v>0</v>
      </c>
      <c r="Q39" s="44">
        <f t="shared" si="9"/>
        <v>0</v>
      </c>
      <c r="R39" s="51"/>
    </row>
    <row r="40" spans="1:18" ht="15.75">
      <c r="A40" s="23">
        <v>30</v>
      </c>
      <c r="B40" s="43">
        <f t="shared" si="1"/>
        <v>0</v>
      </c>
      <c r="C40" s="65">
        <f t="shared" si="3"/>
        <v>0</v>
      </c>
      <c r="D40" s="65">
        <f t="shared" si="4"/>
        <v>0</v>
      </c>
      <c r="E40" s="68">
        <f t="shared" si="5"/>
        <v>0</v>
      </c>
      <c r="F40" s="51"/>
      <c r="G40" s="4201"/>
      <c r="H40" s="40" t="s">
        <v>22</v>
      </c>
      <c r="I40" s="43">
        <f>IF($B$8=12,B40,IF($B$8=4,0,IF($B$8=6,0,IF($B$8=3,0,0))))</f>
        <v>0</v>
      </c>
      <c r="J40" s="43">
        <f>IF($B$8=12,C40,IF($B$8=4,0,IF($B$8=6,0,IF($B$8=3,0,0))))</f>
        <v>0</v>
      </c>
      <c r="K40" s="44">
        <f>IF($B$8=12,D40,IF($B$8=4,0,IF($B$8=6,0,IF($B$8=3,0,0))))</f>
        <v>0</v>
      </c>
      <c r="L40" s="51"/>
      <c r="M40" s="4201"/>
      <c r="N40" s="81" t="s">
        <v>22</v>
      </c>
      <c r="O40" s="43">
        <f t="shared" si="10"/>
        <v>0</v>
      </c>
      <c r="P40" s="43">
        <f t="shared" si="9"/>
        <v>0</v>
      </c>
      <c r="Q40" s="44">
        <f t="shared" si="9"/>
        <v>0</v>
      </c>
      <c r="R40" s="51"/>
    </row>
    <row r="41" spans="1:18" ht="15.75">
      <c r="A41" s="23">
        <v>31</v>
      </c>
      <c r="B41" s="43">
        <f t="shared" si="1"/>
        <v>0</v>
      </c>
      <c r="C41" s="65">
        <f t="shared" si="3"/>
        <v>0</v>
      </c>
      <c r="D41" s="65">
        <f t="shared" si="4"/>
        <v>0</v>
      </c>
      <c r="E41" s="68">
        <f t="shared" si="5"/>
        <v>0</v>
      </c>
      <c r="F41" s="51"/>
      <c r="G41" s="4201"/>
      <c r="H41" s="40" t="s">
        <v>23</v>
      </c>
      <c r="I41" s="43">
        <f>IF($B$8=12,B41,IF($B$8=4,B21,IF($B$8=6,B26,IF($B$8=3,0,IF($B$8=2,B16,0)))))</f>
        <v>0</v>
      </c>
      <c r="J41" s="43">
        <f>IF($B$8=12,C41,IF($B$8=4,C21,IF($B$8=6,C26,IF($B$8=3,0,IF($B$8=2,C16,0)))))</f>
        <v>0</v>
      </c>
      <c r="K41" s="44">
        <f>IF($B$8=12,D41,IF($B$8=4,D21,IF($B$8=6,D26,IF($B$8=3,0,IF($B$8=2,D16,0)))))</f>
        <v>0</v>
      </c>
      <c r="L41" s="51"/>
      <c r="M41" s="4201"/>
      <c r="N41" s="81" t="s">
        <v>23</v>
      </c>
      <c r="O41" s="43">
        <f t="shared" si="10"/>
        <v>0</v>
      </c>
      <c r="P41" s="43">
        <f t="shared" si="9"/>
        <v>0</v>
      </c>
      <c r="Q41" s="44">
        <f t="shared" si="9"/>
        <v>0</v>
      </c>
      <c r="R41" s="51"/>
    </row>
    <row r="42" spans="1:18" ht="15.75">
      <c r="A42" s="23">
        <v>32</v>
      </c>
      <c r="B42" s="43">
        <f t="shared" si="1"/>
        <v>0</v>
      </c>
      <c r="C42" s="65">
        <f t="shared" si="3"/>
        <v>0</v>
      </c>
      <c r="D42" s="65">
        <f t="shared" si="4"/>
        <v>0</v>
      </c>
      <c r="E42" s="68">
        <f t="shared" si="5"/>
        <v>0</v>
      </c>
      <c r="F42" s="51"/>
      <c r="G42" s="4201"/>
      <c r="H42" s="40" t="s">
        <v>24</v>
      </c>
      <c r="I42" s="43">
        <f>IF($B$8=12,B42,IF($B$8=4,0,IF($B$8=6,0,IF($B$8=3,0,0))))</f>
        <v>0</v>
      </c>
      <c r="J42" s="43">
        <f>IF($B$8=12,C42,IF($B$8=4,0,IF($B$8=6,0,IF($B$8=3,0,0))))</f>
        <v>0</v>
      </c>
      <c r="K42" s="44">
        <f>IF($B$8=12,D42,IF($B$8=4,0,IF($B$8=6,0,IF($B$8=3,0,0))))</f>
        <v>0</v>
      </c>
      <c r="L42" s="51"/>
      <c r="M42" s="4201"/>
      <c r="N42" s="81" t="s">
        <v>24</v>
      </c>
      <c r="O42" s="43">
        <f t="shared" si="10"/>
        <v>0</v>
      </c>
      <c r="P42" s="43">
        <f t="shared" si="9"/>
        <v>0</v>
      </c>
      <c r="Q42" s="44">
        <f t="shared" si="9"/>
        <v>0</v>
      </c>
      <c r="R42" s="51"/>
    </row>
    <row r="43" spans="1:18" ht="15.75">
      <c r="A43" s="23">
        <v>33</v>
      </c>
      <c r="B43" s="43">
        <f t="shared" si="1"/>
        <v>0</v>
      </c>
      <c r="C43" s="65">
        <f t="shared" si="3"/>
        <v>0</v>
      </c>
      <c r="D43" s="65">
        <f t="shared" si="4"/>
        <v>0</v>
      </c>
      <c r="E43" s="68">
        <f t="shared" si="5"/>
        <v>0</v>
      </c>
      <c r="F43" s="51"/>
      <c r="G43" s="4201"/>
      <c r="H43" s="40" t="s">
        <v>25</v>
      </c>
      <c r="I43" s="43">
        <f>IF($B$8=12,B43,IF($B$8=4,0,IF($B$8=6,B27,IF($B$8=3,B19,0))))</f>
        <v>0</v>
      </c>
      <c r="J43" s="43">
        <f>IF($B$8=12,C43,IF($B$8=4,0,IF($B$8=6,C27,IF($B$8=3,C19,0))))</f>
        <v>0</v>
      </c>
      <c r="K43" s="44">
        <f>IF($B$8=12,D43,IF($B$8=4,0,IF($B$8=6,D27,IF($B$8=3,D19,0))))</f>
        <v>0</v>
      </c>
      <c r="L43" s="51"/>
      <c r="M43" s="4201"/>
      <c r="N43" s="81" t="s">
        <v>25</v>
      </c>
      <c r="O43" s="43">
        <f t="shared" si="10"/>
        <v>0</v>
      </c>
      <c r="P43" s="43">
        <f t="shared" si="9"/>
        <v>0</v>
      </c>
      <c r="Q43" s="44">
        <f t="shared" si="9"/>
        <v>0</v>
      </c>
      <c r="R43" s="51"/>
    </row>
    <row r="44" spans="1:18" ht="15.75">
      <c r="A44" s="23">
        <v>34</v>
      </c>
      <c r="B44" s="43">
        <f t="shared" si="1"/>
        <v>0</v>
      </c>
      <c r="C44" s="65">
        <f t="shared" si="3"/>
        <v>0</v>
      </c>
      <c r="D44" s="65">
        <f t="shared" si="4"/>
        <v>0</v>
      </c>
      <c r="E44" s="68">
        <f t="shared" si="5"/>
        <v>0</v>
      </c>
      <c r="F44" s="51"/>
      <c r="G44" s="4201"/>
      <c r="H44" s="40" t="s">
        <v>26</v>
      </c>
      <c r="I44" s="43">
        <f>IF($B$8=12,B44,IF($B$8=4,B22,IF($B$8=6,0,IF($B$8=3,0,0))))</f>
        <v>0</v>
      </c>
      <c r="J44" s="43">
        <f>IF($B$8=12,C44,IF($B$8=4,C22,IF($B$8=6,0,IF($B$8=3,0,0))))</f>
        <v>0</v>
      </c>
      <c r="K44" s="44">
        <f>IF($B$8=12,D44,IF($B$8=4,D22,IF($B$8=6,0,IF($B$8=3,0,0))))</f>
        <v>0</v>
      </c>
      <c r="L44" s="51"/>
      <c r="M44" s="4201"/>
      <c r="N44" s="81" t="s">
        <v>26</v>
      </c>
      <c r="O44" s="43">
        <f t="shared" si="10"/>
        <v>0</v>
      </c>
      <c r="P44" s="43">
        <f t="shared" si="9"/>
        <v>0</v>
      </c>
      <c r="Q44" s="44">
        <f t="shared" si="9"/>
        <v>0</v>
      </c>
      <c r="R44" s="51"/>
    </row>
    <row r="45" spans="1:18" ht="15.75">
      <c r="A45" s="23">
        <v>35</v>
      </c>
      <c r="B45" s="43">
        <f t="shared" si="1"/>
        <v>0</v>
      </c>
      <c r="C45" s="65">
        <f t="shared" si="3"/>
        <v>0</v>
      </c>
      <c r="D45" s="65">
        <f t="shared" si="4"/>
        <v>0</v>
      </c>
      <c r="E45" s="68">
        <f t="shared" si="5"/>
        <v>0</v>
      </c>
      <c r="F45" s="51"/>
      <c r="G45" s="4201"/>
      <c r="H45" s="40" t="s">
        <v>27</v>
      </c>
      <c r="I45" s="43">
        <f>IF($B$8=12,B45,IF($B$8=4,0,IF($B$8=6,B28,IF($B$8=3,0,0))))</f>
        <v>0</v>
      </c>
      <c r="J45" s="43">
        <f>IF($B$8=12,C45,IF($B$8=4,0,IF($B$8=6,C28,IF($B$8=3,0,0))))</f>
        <v>0</v>
      </c>
      <c r="K45" s="44">
        <f>IF($B$8=12,D45,IF($B$8=4,0,IF($B$8=6,D28,IF($B$8=3,0,0))))</f>
        <v>0</v>
      </c>
      <c r="L45" s="51"/>
      <c r="M45" s="4201"/>
      <c r="N45" s="81" t="s">
        <v>27</v>
      </c>
      <c r="O45" s="43">
        <f t="shared" si="10"/>
        <v>0</v>
      </c>
      <c r="P45" s="43">
        <f t="shared" si="9"/>
        <v>0</v>
      </c>
      <c r="Q45" s="44">
        <f t="shared" si="9"/>
        <v>0</v>
      </c>
      <c r="R45" s="51"/>
    </row>
    <row r="46" spans="1:18" ht="16.5" thickBot="1">
      <c r="A46" s="24">
        <v>36</v>
      </c>
      <c r="B46" s="70">
        <f t="shared" si="1"/>
        <v>0</v>
      </c>
      <c r="C46" s="71">
        <f t="shared" si="3"/>
        <v>0</v>
      </c>
      <c r="D46" s="71">
        <f t="shared" si="4"/>
        <v>0</v>
      </c>
      <c r="E46" s="68">
        <f t="shared" si="5"/>
        <v>0</v>
      </c>
      <c r="F46" s="243">
        <f>SUM(D35:D46)</f>
        <v>0</v>
      </c>
      <c r="G46" s="4202"/>
      <c r="H46" s="73" t="s">
        <v>28</v>
      </c>
      <c r="I46" s="70">
        <f>IF($B$8=12,B46,IF($B$8=4,0,IF($B$8=6,0,IF($B$8=3,0,0))))</f>
        <v>0</v>
      </c>
      <c r="J46" s="70">
        <f>IF($B$8=12,C46,IF($B$8=4,0,IF($B$8=6,0,IF($B$8=3,0,0))))</f>
        <v>0</v>
      </c>
      <c r="K46" s="75">
        <f>IF($B$8=12,D46,IF($B$8=4,0,IF($B$8=6,0,IF($B$8=3,0,0))))</f>
        <v>0</v>
      </c>
      <c r="L46" s="51"/>
      <c r="M46" s="4202"/>
      <c r="N46" s="86" t="s">
        <v>28</v>
      </c>
      <c r="O46" s="45">
        <f t="shared" si="10"/>
        <v>0</v>
      </c>
      <c r="P46" s="45">
        <f t="shared" si="9"/>
        <v>0</v>
      </c>
      <c r="Q46" s="46">
        <f t="shared" si="9"/>
        <v>0</v>
      </c>
      <c r="R46" s="51"/>
    </row>
    <row r="47" spans="1:18" ht="15.75">
      <c r="A47" s="23">
        <v>37</v>
      </c>
      <c r="B47" s="43">
        <f t="shared" si="1"/>
        <v>0</v>
      </c>
      <c r="C47" s="65">
        <f t="shared" si="3"/>
        <v>0</v>
      </c>
      <c r="D47" s="65">
        <f t="shared" si="4"/>
        <v>0</v>
      </c>
      <c r="E47" s="109">
        <f t="shared" si="5"/>
        <v>0</v>
      </c>
      <c r="F47" s="51"/>
      <c r="G47" s="4200">
        <f>G35+1</f>
        <v>3</v>
      </c>
      <c r="H47" s="40" t="s">
        <v>17</v>
      </c>
      <c r="I47" s="43">
        <f>IF($B$8=12,B47,IF($B$8=4,B23,IF($B$8=6,B29,IF($B$8=3,B20,IF($B$8=2,B17,IF($B$8=1,B14,0))))))</f>
        <v>0</v>
      </c>
      <c r="J47" s="43">
        <f>IF($B$8=12,C47,IF($B$8=4,C23,IF($B$8=6,C29,IF($B$8=3,C20,IF($B$8=2,C17,IF($B$8=1,C14,0))))))</f>
        <v>0</v>
      </c>
      <c r="K47" s="44">
        <f>IF($B$8=12,D47,IF($B$8=4,D23,IF($B$8=6,D29,IF($B$8=3,D20,IF($B$8=2,D17,IF($B$8=1,D14,0))))))</f>
        <v>0</v>
      </c>
      <c r="L47" s="51"/>
      <c r="M47" s="4200">
        <f>'1.Datos Básicos. Product-Serv'!$B$7+3</f>
        <v>3</v>
      </c>
      <c r="N47" s="81" t="s">
        <v>17</v>
      </c>
      <c r="O47" s="76">
        <f>IF($I$6=4,I11,IF($I$6=3,I23,IF($I$6=2,I35,IF($I$6=1,I47,0))))</f>
        <v>0</v>
      </c>
      <c r="P47" s="76">
        <f t="shared" ref="P47:Q58" si="11">IF($I$6=4,J11,IF($I$6=3,J23,IF($I$6=2,J35,IF($I$6=1,J47,0))))</f>
        <v>0</v>
      </c>
      <c r="Q47" s="77">
        <f t="shared" si="11"/>
        <v>0</v>
      </c>
      <c r="R47" s="51"/>
    </row>
    <row r="48" spans="1:18" ht="15.75">
      <c r="A48" s="23">
        <v>38</v>
      </c>
      <c r="B48" s="43">
        <f t="shared" si="1"/>
        <v>0</v>
      </c>
      <c r="C48" s="65">
        <f t="shared" si="3"/>
        <v>0</v>
      </c>
      <c r="D48" s="65">
        <f t="shared" si="4"/>
        <v>0</v>
      </c>
      <c r="E48" s="68">
        <f t="shared" si="5"/>
        <v>0</v>
      </c>
      <c r="F48" s="51"/>
      <c r="G48" s="4201"/>
      <c r="H48" s="40" t="s">
        <v>18</v>
      </c>
      <c r="I48" s="43">
        <f>IF($B$8=12,B48,0)</f>
        <v>0</v>
      </c>
      <c r="J48" s="43">
        <f>IF($B$8=12,C48,0)</f>
        <v>0</v>
      </c>
      <c r="K48" s="44">
        <f>IF($B$8=12,D48,0)</f>
        <v>0</v>
      </c>
      <c r="L48" s="51"/>
      <c r="M48" s="4201"/>
      <c r="N48" s="81" t="s">
        <v>18</v>
      </c>
      <c r="O48" s="43">
        <f t="shared" ref="O48:O58" si="12">IF($I$6=4,I12,IF($I$6=3,I24,IF($I$6=2,I36,IF($I$6=1,I48,0))))</f>
        <v>0</v>
      </c>
      <c r="P48" s="43">
        <f t="shared" si="11"/>
        <v>0</v>
      </c>
      <c r="Q48" s="44">
        <f t="shared" si="11"/>
        <v>0</v>
      </c>
      <c r="R48" s="51"/>
    </row>
    <row r="49" spans="1:18" ht="15.75">
      <c r="A49" s="23">
        <v>39</v>
      </c>
      <c r="B49" s="43">
        <f t="shared" si="1"/>
        <v>0</v>
      </c>
      <c r="C49" s="65">
        <f t="shared" si="3"/>
        <v>0</v>
      </c>
      <c r="D49" s="65">
        <f t="shared" si="4"/>
        <v>0</v>
      </c>
      <c r="E49" s="68">
        <f t="shared" si="5"/>
        <v>0</v>
      </c>
      <c r="F49" s="51"/>
      <c r="G49" s="4201"/>
      <c r="H49" s="40" t="s">
        <v>19</v>
      </c>
      <c r="I49" s="43">
        <f>IF($B$8=12,B49,IF($B$8=6,B30,0))</f>
        <v>0</v>
      </c>
      <c r="J49" s="43">
        <f>IF($B$8=12,C49,IF($B$8=6,C30,0))</f>
        <v>0</v>
      </c>
      <c r="K49" s="44">
        <f>IF($B$8=12,D49,IF($B$8=6,D30,0))</f>
        <v>0</v>
      </c>
      <c r="L49" s="51"/>
      <c r="M49" s="4201"/>
      <c r="N49" s="81" t="s">
        <v>19</v>
      </c>
      <c r="O49" s="43">
        <f t="shared" si="12"/>
        <v>0</v>
      </c>
      <c r="P49" s="43">
        <f t="shared" si="11"/>
        <v>0</v>
      </c>
      <c r="Q49" s="44">
        <f t="shared" si="11"/>
        <v>0</v>
      </c>
      <c r="R49" s="51"/>
    </row>
    <row r="50" spans="1:18" ht="15.75">
      <c r="A50" s="23">
        <v>40</v>
      </c>
      <c r="B50" s="43">
        <f t="shared" si="1"/>
        <v>0</v>
      </c>
      <c r="C50" s="65">
        <f t="shared" si="3"/>
        <v>0</v>
      </c>
      <c r="D50" s="65">
        <f t="shared" si="4"/>
        <v>0</v>
      </c>
      <c r="E50" s="68">
        <f t="shared" si="5"/>
        <v>0</v>
      </c>
      <c r="F50" s="51"/>
      <c r="G50" s="4201"/>
      <c r="H50" s="40" t="s">
        <v>20</v>
      </c>
      <c r="I50" s="43">
        <f>IF($B$8=12,B50,IF($B$8=4,B24,IF($B$8=6,0,IF($B$8=3,0,0))))</f>
        <v>0</v>
      </c>
      <c r="J50" s="43">
        <f>IF($B$8=12,C50,IF($B$8=4,C24,IF($B$8=6,0,IF($B$8=3,0,0))))</f>
        <v>0</v>
      </c>
      <c r="K50" s="44">
        <f>IF($B$8=12,D50,IF($B$8=4,D24,IF($B$8=6,0,IF($B$8=3,0,0))))</f>
        <v>0</v>
      </c>
      <c r="L50" s="51"/>
      <c r="M50" s="4201"/>
      <c r="N50" s="81" t="s">
        <v>20</v>
      </c>
      <c r="O50" s="43">
        <f t="shared" si="12"/>
        <v>0</v>
      </c>
      <c r="P50" s="43">
        <f t="shared" si="11"/>
        <v>0</v>
      </c>
      <c r="Q50" s="44">
        <f t="shared" si="11"/>
        <v>0</v>
      </c>
      <c r="R50" s="51"/>
    </row>
    <row r="51" spans="1:18" ht="15.75">
      <c r="A51" s="23">
        <v>41</v>
      </c>
      <c r="B51" s="43">
        <f t="shared" si="1"/>
        <v>0</v>
      </c>
      <c r="C51" s="65">
        <f t="shared" si="3"/>
        <v>0</v>
      </c>
      <c r="D51" s="65">
        <f t="shared" si="4"/>
        <v>0</v>
      </c>
      <c r="E51" s="68">
        <f t="shared" si="5"/>
        <v>0</v>
      </c>
      <c r="F51" s="51"/>
      <c r="G51" s="4201"/>
      <c r="H51" s="40" t="s">
        <v>21</v>
      </c>
      <c r="I51" s="43">
        <f>IF($B$8=12,B51,IF($B$8=4,0,IF($B$8=6,B31,IF($B$8=3,B21,0))))</f>
        <v>0</v>
      </c>
      <c r="J51" s="43">
        <f>IF($B$8=12,C51,IF($B$8=4,0,IF($B$8=6,C31,IF($B$8=3,C21,0))))</f>
        <v>0</v>
      </c>
      <c r="K51" s="44">
        <f>IF($B$8=12,D51,IF($B$8=4,0,IF($B$8=6,D31,IF($B$8=3,D21,0))))</f>
        <v>0</v>
      </c>
      <c r="L51" s="51"/>
      <c r="M51" s="4201"/>
      <c r="N51" s="81" t="s">
        <v>21</v>
      </c>
      <c r="O51" s="43">
        <f t="shared" si="12"/>
        <v>0</v>
      </c>
      <c r="P51" s="43">
        <f t="shared" si="11"/>
        <v>0</v>
      </c>
      <c r="Q51" s="44">
        <f t="shared" si="11"/>
        <v>0</v>
      </c>
      <c r="R51" s="51"/>
    </row>
    <row r="52" spans="1:18" ht="15.75">
      <c r="A52" s="23">
        <v>42</v>
      </c>
      <c r="B52" s="43">
        <f t="shared" si="1"/>
        <v>0</v>
      </c>
      <c r="C52" s="65">
        <f t="shared" si="3"/>
        <v>0</v>
      </c>
      <c r="D52" s="65">
        <f t="shared" si="4"/>
        <v>0</v>
      </c>
      <c r="E52" s="68">
        <f t="shared" si="5"/>
        <v>0</v>
      </c>
      <c r="F52" s="51"/>
      <c r="G52" s="4201"/>
      <c r="H52" s="40" t="s">
        <v>22</v>
      </c>
      <c r="I52" s="43">
        <f>IF($B$8=12,B52,IF($B$8=4,0,IF($B$8=6,0,IF($B$8=3,0,0))))</f>
        <v>0</v>
      </c>
      <c r="J52" s="43">
        <f>IF($B$8=12,C52,IF($B$8=4,0,IF($B$8=6,0,IF($B$8=3,0,0))))</f>
        <v>0</v>
      </c>
      <c r="K52" s="44">
        <f>IF($B$8=12,D52,IF($B$8=4,0,IF($B$8=6,0,IF($B$8=3,0,0))))</f>
        <v>0</v>
      </c>
      <c r="L52" s="51"/>
      <c r="M52" s="4201"/>
      <c r="N52" s="81" t="s">
        <v>22</v>
      </c>
      <c r="O52" s="43">
        <f t="shared" si="12"/>
        <v>0</v>
      </c>
      <c r="P52" s="43">
        <f t="shared" si="11"/>
        <v>0</v>
      </c>
      <c r="Q52" s="44">
        <f t="shared" si="11"/>
        <v>0</v>
      </c>
      <c r="R52" s="51"/>
    </row>
    <row r="53" spans="1:18" ht="15.75">
      <c r="A53" s="23">
        <v>43</v>
      </c>
      <c r="B53" s="43">
        <f t="shared" si="1"/>
        <v>0</v>
      </c>
      <c r="C53" s="65">
        <f t="shared" si="3"/>
        <v>0</v>
      </c>
      <c r="D53" s="65">
        <f t="shared" si="4"/>
        <v>0</v>
      </c>
      <c r="E53" s="68">
        <f t="shared" si="5"/>
        <v>0</v>
      </c>
      <c r="F53" s="51"/>
      <c r="G53" s="4201"/>
      <c r="H53" s="40" t="s">
        <v>23</v>
      </c>
      <c r="I53" s="43">
        <f>IF($B$8=12,B53,IF($B$8=4,B25,IF($B$8=6,B32,IF($B$8=3,0,IF($B$8=2,B18,0)))))</f>
        <v>0</v>
      </c>
      <c r="J53" s="43">
        <f>IF($B$8=12,C53,IF($B$8=4,C25,IF($B$8=6,C32,IF($B$8=3,0,IF($B$8=2,C18,0)))))</f>
        <v>0</v>
      </c>
      <c r="K53" s="44">
        <f>IF($B$8=12,D53,IF($B$8=4,D25,IF($B$8=6,D32,IF($B$8=3,0,IF($B$8=2,D18,0)))))</f>
        <v>0</v>
      </c>
      <c r="L53" s="51"/>
      <c r="M53" s="4201"/>
      <c r="N53" s="81" t="s">
        <v>23</v>
      </c>
      <c r="O53" s="43">
        <f t="shared" si="12"/>
        <v>0</v>
      </c>
      <c r="P53" s="43">
        <f t="shared" si="11"/>
        <v>0</v>
      </c>
      <c r="Q53" s="44">
        <f t="shared" si="11"/>
        <v>0</v>
      </c>
      <c r="R53" s="51"/>
    </row>
    <row r="54" spans="1:18" ht="15.75">
      <c r="A54" s="23">
        <v>44</v>
      </c>
      <c r="B54" s="43">
        <f t="shared" si="1"/>
        <v>0</v>
      </c>
      <c r="C54" s="65">
        <f t="shared" si="3"/>
        <v>0</v>
      </c>
      <c r="D54" s="65">
        <f t="shared" si="4"/>
        <v>0</v>
      </c>
      <c r="E54" s="68">
        <f t="shared" si="5"/>
        <v>0</v>
      </c>
      <c r="F54" s="51"/>
      <c r="G54" s="4201"/>
      <c r="H54" s="40" t="s">
        <v>24</v>
      </c>
      <c r="I54" s="43">
        <f>IF($B$8=12,B54,IF($B$8=4,0,IF($B$8=6,0,IF($B$8=3,0,0))))</f>
        <v>0</v>
      </c>
      <c r="J54" s="43">
        <f>IF($B$8=12,C54,IF($B$8=4,0,IF($B$8=6,0,IF($B$8=3,0,0))))</f>
        <v>0</v>
      </c>
      <c r="K54" s="44">
        <f>IF($B$8=12,D54,IF($B$8=4,0,IF($B$8=6,0,IF($B$8=3,0,0))))</f>
        <v>0</v>
      </c>
      <c r="L54" s="51"/>
      <c r="M54" s="4201"/>
      <c r="N54" s="81" t="s">
        <v>24</v>
      </c>
      <c r="O54" s="43">
        <f t="shared" si="12"/>
        <v>0</v>
      </c>
      <c r="P54" s="43">
        <f t="shared" si="11"/>
        <v>0</v>
      </c>
      <c r="Q54" s="44">
        <f t="shared" si="11"/>
        <v>0</v>
      </c>
      <c r="R54" s="51"/>
    </row>
    <row r="55" spans="1:18" ht="15.75">
      <c r="A55" s="23">
        <v>45</v>
      </c>
      <c r="B55" s="43">
        <f t="shared" si="1"/>
        <v>0</v>
      </c>
      <c r="C55" s="65">
        <f t="shared" si="3"/>
        <v>0</v>
      </c>
      <c r="D55" s="65">
        <f t="shared" si="4"/>
        <v>0</v>
      </c>
      <c r="E55" s="68">
        <f t="shared" si="5"/>
        <v>0</v>
      </c>
      <c r="F55" s="51"/>
      <c r="G55" s="4201"/>
      <c r="H55" s="40" t="s">
        <v>25</v>
      </c>
      <c r="I55" s="43">
        <f>IF($B$8=12,B55,IF($B$8=4,0,IF($B$8=6,B33,IF($B$8=3,B22,0))))</f>
        <v>0</v>
      </c>
      <c r="J55" s="43">
        <f>IF($B$8=12,C55,IF($B$8=4,0,IF($B$8=6,C33,IF($B$8=3,C22,0))))</f>
        <v>0</v>
      </c>
      <c r="K55" s="44">
        <f>IF($B$8=12,D55,IF($B$8=4,0,IF($B$8=6,D33,IF($B$8=3,D22,0))))</f>
        <v>0</v>
      </c>
      <c r="L55" s="51"/>
      <c r="M55" s="4201"/>
      <c r="N55" s="81" t="s">
        <v>25</v>
      </c>
      <c r="O55" s="43">
        <f t="shared" si="12"/>
        <v>0</v>
      </c>
      <c r="P55" s="43">
        <f t="shared" si="11"/>
        <v>0</v>
      </c>
      <c r="Q55" s="44">
        <f t="shared" si="11"/>
        <v>0</v>
      </c>
      <c r="R55" s="51"/>
    </row>
    <row r="56" spans="1:18" ht="15.75">
      <c r="A56" s="23">
        <v>46</v>
      </c>
      <c r="B56" s="43">
        <f t="shared" si="1"/>
        <v>0</v>
      </c>
      <c r="C56" s="65">
        <f t="shared" si="3"/>
        <v>0</v>
      </c>
      <c r="D56" s="65">
        <f t="shared" si="4"/>
        <v>0</v>
      </c>
      <c r="E56" s="68">
        <f t="shared" si="5"/>
        <v>0</v>
      </c>
      <c r="F56" s="51"/>
      <c r="G56" s="4201"/>
      <c r="H56" s="40" t="s">
        <v>26</v>
      </c>
      <c r="I56" s="43">
        <f>IF($B$8=12,B56,IF($B$8=4,B26,IF($B$8=6,0,IF($B$8=3,0,0))))</f>
        <v>0</v>
      </c>
      <c r="J56" s="43">
        <f>IF($B$8=12,C56,IF($B$8=4,C26,IF($B$8=6,0,IF($B$8=3,0,0))))</f>
        <v>0</v>
      </c>
      <c r="K56" s="44">
        <f>IF($B$8=12,D56,IF($B$8=4,D26,IF($B$8=6,0,IF($B$8=3,0,0))))</f>
        <v>0</v>
      </c>
      <c r="L56" s="51"/>
      <c r="M56" s="4201"/>
      <c r="N56" s="81" t="s">
        <v>26</v>
      </c>
      <c r="O56" s="43">
        <f t="shared" si="12"/>
        <v>0</v>
      </c>
      <c r="P56" s="43">
        <f t="shared" si="11"/>
        <v>0</v>
      </c>
      <c r="Q56" s="44">
        <f t="shared" si="11"/>
        <v>0</v>
      </c>
      <c r="R56" s="51"/>
    </row>
    <row r="57" spans="1:18" ht="15.75">
      <c r="A57" s="23">
        <v>47</v>
      </c>
      <c r="B57" s="43">
        <f t="shared" si="1"/>
        <v>0</v>
      </c>
      <c r="C57" s="65">
        <f t="shared" si="3"/>
        <v>0</v>
      </c>
      <c r="D57" s="65">
        <f t="shared" si="4"/>
        <v>0</v>
      </c>
      <c r="E57" s="68">
        <f t="shared" si="5"/>
        <v>0</v>
      </c>
      <c r="F57" s="51"/>
      <c r="G57" s="4201"/>
      <c r="H57" s="40" t="s">
        <v>27</v>
      </c>
      <c r="I57" s="43">
        <f>IF($B$8=12,B57,IF($B$8=4,0,IF($B$8=6,B34,IF($B$8=3,0,0))))</f>
        <v>0</v>
      </c>
      <c r="J57" s="43">
        <f>IF($B$8=12,C57,IF($B$8=4,0,IF($B$8=6,C34,IF($B$8=3,0,0))))</f>
        <v>0</v>
      </c>
      <c r="K57" s="44">
        <f>IF($B$8=12,D57,IF($B$8=4,0,IF($B$8=6,D34,IF($B$8=3,0,0))))</f>
        <v>0</v>
      </c>
      <c r="L57" s="51"/>
      <c r="M57" s="4201"/>
      <c r="N57" s="81" t="s">
        <v>27</v>
      </c>
      <c r="O57" s="43">
        <f t="shared" si="12"/>
        <v>0</v>
      </c>
      <c r="P57" s="43">
        <f t="shared" si="11"/>
        <v>0</v>
      </c>
      <c r="Q57" s="44">
        <f t="shared" si="11"/>
        <v>0</v>
      </c>
      <c r="R57" s="51"/>
    </row>
    <row r="58" spans="1:18" ht="16.5" thickBot="1">
      <c r="A58" s="24">
        <v>48</v>
      </c>
      <c r="B58" s="70">
        <f t="shared" si="1"/>
        <v>0</v>
      </c>
      <c r="C58" s="71">
        <f t="shared" si="3"/>
        <v>0</v>
      </c>
      <c r="D58" s="71">
        <f t="shared" si="4"/>
        <v>0</v>
      </c>
      <c r="E58" s="68">
        <f t="shared" si="5"/>
        <v>0</v>
      </c>
      <c r="F58" s="243">
        <f>SUM(D47:D58)</f>
        <v>0</v>
      </c>
      <c r="G58" s="4202"/>
      <c r="H58" s="73" t="s">
        <v>28</v>
      </c>
      <c r="I58" s="70">
        <f>IF($B$8=12,B58,IF($B$8=4,0,IF($B$8=6,0,IF($B$8=3,0,0))))</f>
        <v>0</v>
      </c>
      <c r="J58" s="70">
        <f>IF($B$8=12,C58,IF($B$8=4,0,IF($B$8=6,0,IF($B$8=3,0,0))))</f>
        <v>0</v>
      </c>
      <c r="K58" s="75">
        <f>IF($B$8=12,D58,IF($B$8=4,0,IF($B$8=6,0,IF($B$8=3,0,0))))</f>
        <v>0</v>
      </c>
      <c r="L58" s="51"/>
      <c r="M58" s="4202"/>
      <c r="N58" s="86" t="s">
        <v>28</v>
      </c>
      <c r="O58" s="45">
        <f t="shared" si="12"/>
        <v>0</v>
      </c>
      <c r="P58" s="45">
        <f t="shared" si="11"/>
        <v>0</v>
      </c>
      <c r="Q58" s="46">
        <f t="shared" si="11"/>
        <v>0</v>
      </c>
      <c r="R58" s="51"/>
    </row>
    <row r="59" spans="1:18" ht="15.75">
      <c r="A59" s="23">
        <v>49</v>
      </c>
      <c r="B59" s="43">
        <f t="shared" si="1"/>
        <v>0</v>
      </c>
      <c r="C59" s="65">
        <f t="shared" si="3"/>
        <v>0</v>
      </c>
      <c r="D59" s="65">
        <f t="shared" si="4"/>
        <v>0</v>
      </c>
      <c r="E59" s="109">
        <f t="shared" si="5"/>
        <v>0</v>
      </c>
      <c r="F59" s="51"/>
      <c r="G59" s="4200">
        <f>G47+1</f>
        <v>4</v>
      </c>
      <c r="H59" s="40" t="s">
        <v>17</v>
      </c>
      <c r="I59" s="43">
        <f>IF($B$8=12,B59,IF($B$8=4,B27,IF($B$8=6,B35,IF($B$8=3,B23,IF($B$8=2,B19,IF($B$8=1,B15,0))))))</f>
        <v>0</v>
      </c>
      <c r="J59" s="43">
        <f>IF($B$8=12,C59,IF($B$8=4,C27,IF($B$8=6,C35,IF($B$8=3,C23,IF($B$8=2,C19,IF($B$8=1,C15,0))))))</f>
        <v>0</v>
      </c>
      <c r="K59" s="44">
        <f>IF($B$8=12,D59,IF($B$8=4,D27,IF($B$8=6,D35,IF($B$8=3,D23,IF($B$8=2,D19,IF($B$8=1,D15,0))))))</f>
        <v>0</v>
      </c>
      <c r="L59" s="51"/>
      <c r="M59" s="4200">
        <f>'1.Datos Básicos. Product-Serv'!$B$7+4</f>
        <v>4</v>
      </c>
      <c r="N59" s="81" t="s">
        <v>17</v>
      </c>
      <c r="O59" s="76">
        <f>IF($I$6=5,I11,IF($I$6=4,I23,IF($I$6=3,I35,IF($I$6=2,I47,IF($I$6=1,I59,0)))))</f>
        <v>0</v>
      </c>
      <c r="P59" s="76">
        <f t="shared" ref="P59:Q70" si="13">IF($I$6=5,J11,IF($I$6=4,J23,IF($I$6=3,J35,IF($I$6=2,J47,IF($I$6=1,J59,0)))))</f>
        <v>0</v>
      </c>
      <c r="Q59" s="77">
        <f t="shared" si="13"/>
        <v>0</v>
      </c>
      <c r="R59" s="51"/>
    </row>
    <row r="60" spans="1:18" ht="15.75">
      <c r="A60" s="23">
        <v>50</v>
      </c>
      <c r="B60" s="43">
        <f t="shared" si="1"/>
        <v>0</v>
      </c>
      <c r="C60" s="65">
        <f t="shared" si="3"/>
        <v>0</v>
      </c>
      <c r="D60" s="65">
        <f t="shared" si="4"/>
        <v>0</v>
      </c>
      <c r="E60" s="68">
        <f t="shared" si="5"/>
        <v>0</v>
      </c>
      <c r="F60" s="51"/>
      <c r="G60" s="4201"/>
      <c r="H60" s="40" t="s">
        <v>18</v>
      </c>
      <c r="I60" s="43">
        <f>IF($B$8=12,B60,0)</f>
        <v>0</v>
      </c>
      <c r="J60" s="43">
        <f>IF($B$8=12,C60,0)</f>
        <v>0</v>
      </c>
      <c r="K60" s="44">
        <f>IF($B$8=12,D60,0)</f>
        <v>0</v>
      </c>
      <c r="L60" s="51"/>
      <c r="M60" s="4201"/>
      <c r="N60" s="81" t="s">
        <v>18</v>
      </c>
      <c r="O60" s="43">
        <f t="shared" ref="O60:O70" si="14">IF($I$6=5,I12,IF($I$6=4,I24,IF($I$6=3,I36,IF($I$6=2,I48,IF($I$6=1,I60,0)))))</f>
        <v>0</v>
      </c>
      <c r="P60" s="43">
        <f t="shared" si="13"/>
        <v>0</v>
      </c>
      <c r="Q60" s="44">
        <f t="shared" si="13"/>
        <v>0</v>
      </c>
      <c r="R60" s="51"/>
    </row>
    <row r="61" spans="1:18" ht="15.75">
      <c r="A61" s="23">
        <v>51</v>
      </c>
      <c r="B61" s="43">
        <f t="shared" si="1"/>
        <v>0</v>
      </c>
      <c r="C61" s="65">
        <f t="shared" si="3"/>
        <v>0</v>
      </c>
      <c r="D61" s="65">
        <f t="shared" si="4"/>
        <v>0</v>
      </c>
      <c r="E61" s="68">
        <f t="shared" si="5"/>
        <v>0</v>
      </c>
      <c r="F61" s="51"/>
      <c r="G61" s="4201"/>
      <c r="H61" s="40" t="s">
        <v>19</v>
      </c>
      <c r="I61" s="43">
        <f>IF($B$8=12,B61,IF($B$8=6,B36,0))</f>
        <v>0</v>
      </c>
      <c r="J61" s="43">
        <f>IF($B$8=12,C61,IF($B$8=6,C36,0))</f>
        <v>0</v>
      </c>
      <c r="K61" s="44">
        <f>IF($B$8=12,D61,IF($B$8=6,D36,0))</f>
        <v>0</v>
      </c>
      <c r="L61" s="51"/>
      <c r="M61" s="4201"/>
      <c r="N61" s="81" t="s">
        <v>19</v>
      </c>
      <c r="O61" s="43">
        <f t="shared" si="14"/>
        <v>0</v>
      </c>
      <c r="P61" s="43">
        <f t="shared" si="13"/>
        <v>0</v>
      </c>
      <c r="Q61" s="44">
        <f t="shared" si="13"/>
        <v>0</v>
      </c>
      <c r="R61" s="51"/>
    </row>
    <row r="62" spans="1:18" ht="15.75">
      <c r="A62" s="23">
        <v>52</v>
      </c>
      <c r="B62" s="43">
        <f t="shared" si="1"/>
        <v>0</v>
      </c>
      <c r="C62" s="65">
        <f t="shared" si="3"/>
        <v>0</v>
      </c>
      <c r="D62" s="65">
        <f t="shared" si="4"/>
        <v>0</v>
      </c>
      <c r="E62" s="68">
        <f t="shared" si="5"/>
        <v>0</v>
      </c>
      <c r="F62" s="51"/>
      <c r="G62" s="4201"/>
      <c r="H62" s="40" t="s">
        <v>20</v>
      </c>
      <c r="I62" s="43">
        <f>IF($B$8=12,B62,IF($B$8=4,B28,IF($B$8=6,0,IF($B$8=3,0,0))))</f>
        <v>0</v>
      </c>
      <c r="J62" s="43">
        <f>IF($B$8=12,C62,IF($B$8=4,C28,IF($B$8=6,0,IF($B$8=3,0,0))))</f>
        <v>0</v>
      </c>
      <c r="K62" s="44">
        <f>IF($B$8=12,D62,IF($B$8=4,D28,IF($B$8=6,0,IF($B$8=3,0,0))))</f>
        <v>0</v>
      </c>
      <c r="L62" s="51"/>
      <c r="M62" s="4201"/>
      <c r="N62" s="81" t="s">
        <v>20</v>
      </c>
      <c r="O62" s="43">
        <f t="shared" si="14"/>
        <v>0</v>
      </c>
      <c r="P62" s="43">
        <f t="shared" si="13"/>
        <v>0</v>
      </c>
      <c r="Q62" s="44">
        <f t="shared" si="13"/>
        <v>0</v>
      </c>
      <c r="R62" s="51"/>
    </row>
    <row r="63" spans="1:18" ht="15.75">
      <c r="A63" s="23">
        <v>53</v>
      </c>
      <c r="B63" s="43">
        <f t="shared" si="1"/>
        <v>0</v>
      </c>
      <c r="C63" s="65">
        <f t="shared" si="3"/>
        <v>0</v>
      </c>
      <c r="D63" s="65">
        <f t="shared" si="4"/>
        <v>0</v>
      </c>
      <c r="E63" s="68">
        <f t="shared" si="5"/>
        <v>0</v>
      </c>
      <c r="F63" s="51"/>
      <c r="G63" s="4201"/>
      <c r="H63" s="40" t="s">
        <v>21</v>
      </c>
      <c r="I63" s="43">
        <f>IF($B$8=12,B63,IF($B$8=4,0,IF($B$8=6,B37,IF($B$8=3,B24,0))))</f>
        <v>0</v>
      </c>
      <c r="J63" s="43">
        <f>IF($B$8=12,C63,IF($B$8=4,0,IF($B$8=6,C37,IF($B$8=3,C24,0))))</f>
        <v>0</v>
      </c>
      <c r="K63" s="44">
        <f>IF($B$8=12,D63,IF($B$8=4,0,IF($B$8=6,D37,IF($B$8=3,D24,0))))</f>
        <v>0</v>
      </c>
      <c r="L63" s="51"/>
      <c r="M63" s="4201"/>
      <c r="N63" s="81" t="s">
        <v>21</v>
      </c>
      <c r="O63" s="43">
        <f t="shared" si="14"/>
        <v>0</v>
      </c>
      <c r="P63" s="43">
        <f t="shared" si="13"/>
        <v>0</v>
      </c>
      <c r="Q63" s="44">
        <f t="shared" si="13"/>
        <v>0</v>
      </c>
      <c r="R63" s="51"/>
    </row>
    <row r="64" spans="1:18" ht="15.75">
      <c r="A64" s="23">
        <v>54</v>
      </c>
      <c r="B64" s="43">
        <f t="shared" si="1"/>
        <v>0</v>
      </c>
      <c r="C64" s="65">
        <f t="shared" si="3"/>
        <v>0</v>
      </c>
      <c r="D64" s="65">
        <f t="shared" si="4"/>
        <v>0</v>
      </c>
      <c r="E64" s="68">
        <f t="shared" si="5"/>
        <v>0</v>
      </c>
      <c r="F64" s="51"/>
      <c r="G64" s="4201"/>
      <c r="H64" s="40" t="s">
        <v>22</v>
      </c>
      <c r="I64" s="43">
        <f>IF($B$8=12,B64,IF($B$8=4,0,IF($B$8=6,0,IF($B$8=3,0,0))))</f>
        <v>0</v>
      </c>
      <c r="J64" s="43">
        <f>IF($B$8=12,C64,IF($B$8=4,0,IF($B$8=6,0,IF($B$8=3,0,0))))</f>
        <v>0</v>
      </c>
      <c r="K64" s="44">
        <f>IF($B$8=12,D64,IF($B$8=4,0,IF($B$8=6,0,IF($B$8=3,0,0))))</f>
        <v>0</v>
      </c>
      <c r="L64" s="51"/>
      <c r="M64" s="4201"/>
      <c r="N64" s="81" t="s">
        <v>22</v>
      </c>
      <c r="O64" s="43">
        <f t="shared" si="14"/>
        <v>0</v>
      </c>
      <c r="P64" s="43">
        <f t="shared" si="13"/>
        <v>0</v>
      </c>
      <c r="Q64" s="44">
        <f t="shared" si="13"/>
        <v>0</v>
      </c>
      <c r="R64" s="51"/>
    </row>
    <row r="65" spans="1:18" ht="15.75">
      <c r="A65" s="23">
        <v>55</v>
      </c>
      <c r="B65" s="43">
        <f t="shared" si="1"/>
        <v>0</v>
      </c>
      <c r="C65" s="65">
        <f t="shared" si="3"/>
        <v>0</v>
      </c>
      <c r="D65" s="65">
        <f t="shared" si="4"/>
        <v>0</v>
      </c>
      <c r="E65" s="68">
        <f t="shared" si="5"/>
        <v>0</v>
      </c>
      <c r="F65" s="51"/>
      <c r="G65" s="4201"/>
      <c r="H65" s="40" t="s">
        <v>23</v>
      </c>
      <c r="I65" s="43">
        <f>IF($B$8=12,B65,IF($B$8=4,B29,IF($B$8=6,B38,IF($B$8=3,0,IF($B$8=2,B20,0)))))</f>
        <v>0</v>
      </c>
      <c r="J65" s="43">
        <f>IF($B$8=12,C65,IF($B$8=4,C29,IF($B$8=6,C38,IF($B$8=3,0,IF($B$8=2,C20,0)))))</f>
        <v>0</v>
      </c>
      <c r="K65" s="44">
        <f>IF($B$8=12,D65,IF($B$8=4,D29,IF($B$8=6,D38,IF($B$8=3,0,IF($B$8=2,D20,0)))))</f>
        <v>0</v>
      </c>
      <c r="L65" s="51"/>
      <c r="M65" s="4201"/>
      <c r="N65" s="81" t="s">
        <v>23</v>
      </c>
      <c r="O65" s="43">
        <f t="shared" si="14"/>
        <v>0</v>
      </c>
      <c r="P65" s="43">
        <f t="shared" si="13"/>
        <v>0</v>
      </c>
      <c r="Q65" s="44">
        <f t="shared" si="13"/>
        <v>0</v>
      </c>
      <c r="R65" s="51"/>
    </row>
    <row r="66" spans="1:18" ht="15.75">
      <c r="A66" s="23">
        <v>56</v>
      </c>
      <c r="B66" s="43">
        <f t="shared" si="1"/>
        <v>0</v>
      </c>
      <c r="C66" s="65">
        <f t="shared" si="3"/>
        <v>0</v>
      </c>
      <c r="D66" s="65">
        <f t="shared" si="4"/>
        <v>0</v>
      </c>
      <c r="E66" s="68">
        <f t="shared" si="5"/>
        <v>0</v>
      </c>
      <c r="F66" s="51"/>
      <c r="G66" s="4201"/>
      <c r="H66" s="40" t="s">
        <v>24</v>
      </c>
      <c r="I66" s="43">
        <f>IF($B$8=12,B66,IF($B$8=4,0,IF($B$8=6,0,IF($B$8=3,0,0))))</f>
        <v>0</v>
      </c>
      <c r="J66" s="43">
        <f>IF($B$8=12,C66,IF($B$8=4,0,IF($B$8=6,0,IF($B$8=3,0,0))))</f>
        <v>0</v>
      </c>
      <c r="K66" s="44">
        <f>IF($B$8=12,D66,IF($B$8=4,0,IF($B$8=6,0,IF($B$8=3,0,0))))</f>
        <v>0</v>
      </c>
      <c r="L66" s="51"/>
      <c r="M66" s="4201"/>
      <c r="N66" s="81" t="s">
        <v>24</v>
      </c>
      <c r="O66" s="43">
        <f t="shared" si="14"/>
        <v>0</v>
      </c>
      <c r="P66" s="43">
        <f t="shared" si="13"/>
        <v>0</v>
      </c>
      <c r="Q66" s="44">
        <f t="shared" si="13"/>
        <v>0</v>
      </c>
      <c r="R66" s="51"/>
    </row>
    <row r="67" spans="1:18" ht="15.75">
      <c r="A67" s="23">
        <v>57</v>
      </c>
      <c r="B67" s="43">
        <f t="shared" si="1"/>
        <v>0</v>
      </c>
      <c r="C67" s="65">
        <f t="shared" si="3"/>
        <v>0</v>
      </c>
      <c r="D67" s="65">
        <f t="shared" si="4"/>
        <v>0</v>
      </c>
      <c r="E67" s="68">
        <f t="shared" si="5"/>
        <v>0</v>
      </c>
      <c r="F67" s="51"/>
      <c r="G67" s="4201"/>
      <c r="H67" s="40" t="s">
        <v>25</v>
      </c>
      <c r="I67" s="43">
        <f>IF($B$8=12,B67,IF($B$8=4,0,IF($B$8=6,B39,IF($B$8=3,B25,0))))</f>
        <v>0</v>
      </c>
      <c r="J67" s="43">
        <f>IF($B$8=12,C67,IF($B$8=4,0,IF($B$8=6,C39,IF($B$8=3,C25,0))))</f>
        <v>0</v>
      </c>
      <c r="K67" s="44">
        <f>IF($B$8=12,D67,IF($B$8=4,0,IF($B$8=6,D39,IF($B$8=3,D25,0))))</f>
        <v>0</v>
      </c>
      <c r="L67" s="51"/>
      <c r="M67" s="4201"/>
      <c r="N67" s="81" t="s">
        <v>25</v>
      </c>
      <c r="O67" s="43">
        <f t="shared" si="14"/>
        <v>0</v>
      </c>
      <c r="P67" s="43">
        <f t="shared" si="13"/>
        <v>0</v>
      </c>
      <c r="Q67" s="44">
        <f t="shared" si="13"/>
        <v>0</v>
      </c>
      <c r="R67" s="51"/>
    </row>
    <row r="68" spans="1:18" ht="15.75">
      <c r="A68" s="23">
        <v>58</v>
      </c>
      <c r="B68" s="43">
        <f t="shared" si="1"/>
        <v>0</v>
      </c>
      <c r="C68" s="65">
        <f t="shared" si="3"/>
        <v>0</v>
      </c>
      <c r="D68" s="65">
        <f t="shared" si="4"/>
        <v>0</v>
      </c>
      <c r="E68" s="68">
        <f t="shared" si="5"/>
        <v>0</v>
      </c>
      <c r="F68" s="51"/>
      <c r="G68" s="4201"/>
      <c r="H68" s="40" t="s">
        <v>26</v>
      </c>
      <c r="I68" s="43">
        <f>IF($B$8=12,B68,IF($B$8=4,B30,IF($B$8=6,0,IF($B$8=3,0,0))))</f>
        <v>0</v>
      </c>
      <c r="J68" s="43">
        <f>IF($B$8=12,C68,IF($B$8=4,C30,IF($B$8=6,0,IF($B$8=3,0,0))))</f>
        <v>0</v>
      </c>
      <c r="K68" s="44">
        <f>IF($B$8=12,D68,IF($B$8=4,D30,IF($B$8=6,0,IF($B$8=3,0,0))))</f>
        <v>0</v>
      </c>
      <c r="L68" s="51"/>
      <c r="M68" s="4201"/>
      <c r="N68" s="81" t="s">
        <v>26</v>
      </c>
      <c r="O68" s="43">
        <f t="shared" si="14"/>
        <v>0</v>
      </c>
      <c r="P68" s="43">
        <f t="shared" si="13"/>
        <v>0</v>
      </c>
      <c r="Q68" s="44">
        <f t="shared" si="13"/>
        <v>0</v>
      </c>
      <c r="R68" s="51"/>
    </row>
    <row r="69" spans="1:18" ht="15.75">
      <c r="A69" s="23">
        <v>59</v>
      </c>
      <c r="B69" s="43">
        <f t="shared" si="1"/>
        <v>0</v>
      </c>
      <c r="C69" s="65">
        <f t="shared" si="3"/>
        <v>0</v>
      </c>
      <c r="D69" s="65">
        <f t="shared" si="4"/>
        <v>0</v>
      </c>
      <c r="E69" s="68">
        <f t="shared" si="5"/>
        <v>0</v>
      </c>
      <c r="F69" s="51"/>
      <c r="G69" s="4201"/>
      <c r="H69" s="40" t="s">
        <v>27</v>
      </c>
      <c r="I69" s="43">
        <f>IF($B$8=12,B69,IF($B$8=4,0,IF($B$8=6,B40,IF($B$8=3,0,0))))</f>
        <v>0</v>
      </c>
      <c r="J69" s="43">
        <f>IF($B$8=12,C69,IF($B$8=4,0,IF($B$8=6,C40,IF($B$8=3,0,0))))</f>
        <v>0</v>
      </c>
      <c r="K69" s="44">
        <f>IF($B$8=12,D69,IF($B$8=4,0,IF($B$8=6,D40,IF($B$8=3,0,0))))</f>
        <v>0</v>
      </c>
      <c r="L69" s="51"/>
      <c r="M69" s="4201"/>
      <c r="N69" s="81" t="s">
        <v>27</v>
      </c>
      <c r="O69" s="43">
        <f t="shared" si="14"/>
        <v>0</v>
      </c>
      <c r="P69" s="43">
        <f t="shared" si="13"/>
        <v>0</v>
      </c>
      <c r="Q69" s="44">
        <f t="shared" si="13"/>
        <v>0</v>
      </c>
      <c r="R69" s="51"/>
    </row>
    <row r="70" spans="1:18" ht="16.5" thickBot="1">
      <c r="A70" s="26">
        <v>60</v>
      </c>
      <c r="B70" s="48">
        <f t="shared" si="1"/>
        <v>0</v>
      </c>
      <c r="C70" s="78">
        <f t="shared" si="3"/>
        <v>0</v>
      </c>
      <c r="D70" s="78">
        <f t="shared" si="4"/>
        <v>0</v>
      </c>
      <c r="E70" s="49">
        <f t="shared" si="5"/>
        <v>0</v>
      </c>
      <c r="F70" s="243">
        <f>SUM(D59:D70)</f>
        <v>0</v>
      </c>
      <c r="G70" s="4202"/>
      <c r="H70" s="47" t="s">
        <v>28</v>
      </c>
      <c r="I70" s="48">
        <f>IF($B$8=12,B70,IF($B$8=4,0,IF($B$8=6,0,IF($B$8=3,0,0))))</f>
        <v>0</v>
      </c>
      <c r="J70" s="48">
        <f>IF($B$8=12,C70,IF($B$8=4,0,IF($B$8=6,0,IF($B$8=3,0,0))))</f>
        <v>0</v>
      </c>
      <c r="K70" s="49">
        <f>IF($B$8=12,D70,IF($B$8=4,0,IF($B$8=6,0,IF($B$8=3,0,0))))</f>
        <v>0</v>
      </c>
      <c r="L70" s="51"/>
      <c r="M70" s="4202"/>
      <c r="N70" s="87" t="s">
        <v>28</v>
      </c>
      <c r="O70" s="48">
        <f t="shared" si="14"/>
        <v>0</v>
      </c>
      <c r="P70" s="48">
        <f t="shared" si="13"/>
        <v>0</v>
      </c>
      <c r="Q70" s="49">
        <f t="shared" si="13"/>
        <v>0</v>
      </c>
      <c r="R70" s="51"/>
    </row>
    <row r="71" spans="1:18" ht="16.5" thickTop="1">
      <c r="A71" s="23">
        <v>61</v>
      </c>
      <c r="B71" s="43">
        <f t="shared" ref="B71:B82" si="15">IF(E70&gt;0,PMT($B$6/12,$B$7*$B$8,-$B$5,,1),0)</f>
        <v>0</v>
      </c>
      <c r="C71" s="65">
        <f t="shared" ref="C71:C82" si="16">IF(E70&gt;0,B71-D71,0)</f>
        <v>0</v>
      </c>
      <c r="D71" s="65">
        <f t="shared" ref="D71:D82" si="17">IF(E70&gt;0,B71-(E70*(Interes/12)),0)</f>
        <v>0</v>
      </c>
      <c r="E71" s="44">
        <f t="shared" ref="E71:E82" si="18">IF(E70&gt;0,IF((E70-D71)&gt;0.01,E70-D71,0),0)</f>
        <v>0</v>
      </c>
      <c r="F71" s="51"/>
      <c r="G71" s="51"/>
      <c r="H71" s="226" t="s">
        <v>17</v>
      </c>
      <c r="I71" s="43">
        <f t="shared" ref="I71:I82" si="19">IF($B$8=12,B71,IF($B$8=4,0,IF($B$8=6,0,IF($B$8=3,0,0))))</f>
        <v>0</v>
      </c>
      <c r="J71" s="43">
        <f t="shared" ref="J71:J82" si="20">IF($B$8=12,C71,IF($B$8=4,0,IF($B$8=6,0,IF($B$8=3,0,0))))</f>
        <v>0</v>
      </c>
      <c r="K71" s="44">
        <f t="shared" ref="K71:K82" si="21">IF($B$8=12,D71,IF($B$8=4,0,IF($B$8=6,0,IF($B$8=3,0,0))))</f>
        <v>0</v>
      </c>
      <c r="L71" s="51"/>
      <c r="M71" s="81"/>
      <c r="N71" s="81" t="s">
        <v>17</v>
      </c>
      <c r="O71" s="43">
        <f t="shared" ref="O71:O82" si="22">IF($I$6=5,I23,IF($I$6=4,I35,IF($I$6=3,I47,IF($I$6=2,I59,IF($I$6=1,I71,0)))))</f>
        <v>0</v>
      </c>
      <c r="P71" s="43">
        <f t="shared" ref="P71:P82" si="23">IF($I$6=5,J23,IF($I$6=4,J35,IF($I$6=3,J47,IF($I$6=2,J59,IF($I$6=1,J71,0)))))</f>
        <v>0</v>
      </c>
      <c r="Q71" s="44">
        <f t="shared" ref="Q71:Q82" si="24">IF($I$6=5,K23,IF($I$6=4,K35,IF($I$6=3,K47,IF($I$6=2,K59,IF($I$6=1,K71,0)))))</f>
        <v>0</v>
      </c>
      <c r="R71" s="51"/>
    </row>
    <row r="72" spans="1:18" ht="15.75">
      <c r="A72" s="23">
        <v>62</v>
      </c>
      <c r="B72" s="43">
        <f t="shared" si="15"/>
        <v>0</v>
      </c>
      <c r="C72" s="65">
        <f t="shared" si="16"/>
        <v>0</v>
      </c>
      <c r="D72" s="65">
        <f t="shared" si="17"/>
        <v>0</v>
      </c>
      <c r="E72" s="44">
        <f t="shared" si="18"/>
        <v>0</v>
      </c>
      <c r="G72" s="229"/>
      <c r="H72" s="226" t="s">
        <v>18</v>
      </c>
      <c r="I72" s="43">
        <f t="shared" si="19"/>
        <v>0</v>
      </c>
      <c r="J72" s="43">
        <f t="shared" si="20"/>
        <v>0</v>
      </c>
      <c r="K72" s="44">
        <f t="shared" si="21"/>
        <v>0</v>
      </c>
      <c r="L72" s="229"/>
      <c r="M72" s="229"/>
      <c r="N72" s="81" t="s">
        <v>18</v>
      </c>
      <c r="O72" s="43">
        <f t="shared" si="22"/>
        <v>0</v>
      </c>
      <c r="P72" s="43">
        <f t="shared" si="23"/>
        <v>0</v>
      </c>
      <c r="Q72" s="44">
        <f t="shared" si="24"/>
        <v>0</v>
      </c>
    </row>
    <row r="73" spans="1:18" ht="15.75">
      <c r="A73" s="23">
        <v>63</v>
      </c>
      <c r="B73" s="43">
        <f t="shared" si="15"/>
        <v>0</v>
      </c>
      <c r="C73" s="65">
        <f t="shared" si="16"/>
        <v>0</v>
      </c>
      <c r="D73" s="65">
        <f t="shared" si="17"/>
        <v>0</v>
      </c>
      <c r="E73" s="44">
        <f t="shared" si="18"/>
        <v>0</v>
      </c>
      <c r="G73" s="229"/>
      <c r="H73" s="226" t="s">
        <v>19</v>
      </c>
      <c r="I73" s="43">
        <f t="shared" si="19"/>
        <v>0</v>
      </c>
      <c r="J73" s="43">
        <f t="shared" si="20"/>
        <v>0</v>
      </c>
      <c r="K73" s="44">
        <f t="shared" si="21"/>
        <v>0</v>
      </c>
      <c r="L73" s="229"/>
      <c r="M73" s="229"/>
      <c r="N73" s="81" t="s">
        <v>19</v>
      </c>
      <c r="O73" s="43">
        <f t="shared" si="22"/>
        <v>0</v>
      </c>
      <c r="P73" s="43">
        <f t="shared" si="23"/>
        <v>0</v>
      </c>
      <c r="Q73" s="44">
        <f t="shared" si="24"/>
        <v>0</v>
      </c>
    </row>
    <row r="74" spans="1:18" ht="15.75">
      <c r="A74" s="23">
        <v>64</v>
      </c>
      <c r="B74" s="43">
        <f t="shared" si="15"/>
        <v>0</v>
      </c>
      <c r="C74" s="65">
        <f t="shared" si="16"/>
        <v>0</v>
      </c>
      <c r="D74" s="65">
        <f t="shared" si="17"/>
        <v>0</v>
      </c>
      <c r="E74" s="44">
        <f t="shared" si="18"/>
        <v>0</v>
      </c>
      <c r="G74" s="229"/>
      <c r="H74" s="226" t="s">
        <v>20</v>
      </c>
      <c r="I74" s="43">
        <f t="shared" si="19"/>
        <v>0</v>
      </c>
      <c r="J74" s="43">
        <f t="shared" si="20"/>
        <v>0</v>
      </c>
      <c r="K74" s="44">
        <f t="shared" si="21"/>
        <v>0</v>
      </c>
      <c r="L74" s="229"/>
      <c r="M74" s="229"/>
      <c r="N74" s="81" t="s">
        <v>20</v>
      </c>
      <c r="O74" s="43">
        <f t="shared" si="22"/>
        <v>0</v>
      </c>
      <c r="P74" s="43">
        <f t="shared" si="23"/>
        <v>0</v>
      </c>
      <c r="Q74" s="44">
        <f t="shared" si="24"/>
        <v>0</v>
      </c>
    </row>
    <row r="75" spans="1:18" ht="15.75">
      <c r="A75" s="23">
        <v>65</v>
      </c>
      <c r="B75" s="43">
        <f t="shared" si="15"/>
        <v>0</v>
      </c>
      <c r="C75" s="65">
        <f t="shared" si="16"/>
        <v>0</v>
      </c>
      <c r="D75" s="65">
        <f t="shared" si="17"/>
        <v>0</v>
      </c>
      <c r="E75" s="44">
        <f t="shared" si="18"/>
        <v>0</v>
      </c>
      <c r="G75" s="229"/>
      <c r="H75" s="226" t="s">
        <v>21</v>
      </c>
      <c r="I75" s="43">
        <f t="shared" si="19"/>
        <v>0</v>
      </c>
      <c r="J75" s="43">
        <f t="shared" si="20"/>
        <v>0</v>
      </c>
      <c r="K75" s="44">
        <f t="shared" si="21"/>
        <v>0</v>
      </c>
      <c r="L75" s="229"/>
      <c r="M75" s="229"/>
      <c r="N75" s="81" t="s">
        <v>21</v>
      </c>
      <c r="O75" s="43">
        <f t="shared" si="22"/>
        <v>0</v>
      </c>
      <c r="P75" s="43">
        <f t="shared" si="23"/>
        <v>0</v>
      </c>
      <c r="Q75" s="44">
        <f t="shared" si="24"/>
        <v>0</v>
      </c>
    </row>
    <row r="76" spans="1:18" ht="15.75">
      <c r="A76" s="23">
        <v>66</v>
      </c>
      <c r="B76" s="43">
        <f t="shared" si="15"/>
        <v>0</v>
      </c>
      <c r="C76" s="65">
        <f t="shared" si="16"/>
        <v>0</v>
      </c>
      <c r="D76" s="65">
        <f t="shared" si="17"/>
        <v>0</v>
      </c>
      <c r="E76" s="44">
        <f t="shared" si="18"/>
        <v>0</v>
      </c>
      <c r="G76" s="229"/>
      <c r="H76" s="226" t="s">
        <v>22</v>
      </c>
      <c r="I76" s="43">
        <f t="shared" si="19"/>
        <v>0</v>
      </c>
      <c r="J76" s="43">
        <f t="shared" si="20"/>
        <v>0</v>
      </c>
      <c r="K76" s="44">
        <f t="shared" si="21"/>
        <v>0</v>
      </c>
      <c r="L76" s="229"/>
      <c r="M76" s="229"/>
      <c r="N76" s="81" t="s">
        <v>22</v>
      </c>
      <c r="O76" s="43">
        <f t="shared" si="22"/>
        <v>0</v>
      </c>
      <c r="P76" s="43">
        <f t="shared" si="23"/>
        <v>0</v>
      </c>
      <c r="Q76" s="44">
        <f t="shared" si="24"/>
        <v>0</v>
      </c>
    </row>
    <row r="77" spans="1:18" ht="15.75">
      <c r="A77" s="23">
        <v>67</v>
      </c>
      <c r="B77" s="43">
        <f t="shared" si="15"/>
        <v>0</v>
      </c>
      <c r="C77" s="65">
        <f t="shared" si="16"/>
        <v>0</v>
      </c>
      <c r="D77" s="65">
        <f t="shared" si="17"/>
        <v>0</v>
      </c>
      <c r="E77" s="44">
        <f t="shared" si="18"/>
        <v>0</v>
      </c>
      <c r="G77" s="229"/>
      <c r="H77" s="226" t="s">
        <v>23</v>
      </c>
      <c r="I77" s="43">
        <f t="shared" si="19"/>
        <v>0</v>
      </c>
      <c r="J77" s="43">
        <f t="shared" si="20"/>
        <v>0</v>
      </c>
      <c r="K77" s="44">
        <f t="shared" si="21"/>
        <v>0</v>
      </c>
      <c r="L77" s="229"/>
      <c r="M77" s="229"/>
      <c r="N77" s="81" t="s">
        <v>23</v>
      </c>
      <c r="O77" s="43">
        <f t="shared" si="22"/>
        <v>0</v>
      </c>
      <c r="P77" s="43">
        <f t="shared" si="23"/>
        <v>0</v>
      </c>
      <c r="Q77" s="44">
        <f t="shared" si="24"/>
        <v>0</v>
      </c>
    </row>
    <row r="78" spans="1:18" ht="15.75">
      <c r="A78" s="23">
        <v>68</v>
      </c>
      <c r="B78" s="43">
        <f t="shared" si="15"/>
        <v>0</v>
      </c>
      <c r="C78" s="65">
        <f t="shared" si="16"/>
        <v>0</v>
      </c>
      <c r="D78" s="65">
        <f t="shared" si="17"/>
        <v>0</v>
      </c>
      <c r="E78" s="44">
        <f t="shared" si="18"/>
        <v>0</v>
      </c>
      <c r="G78" s="229"/>
      <c r="H78" s="226" t="s">
        <v>24</v>
      </c>
      <c r="I78" s="43">
        <f t="shared" si="19"/>
        <v>0</v>
      </c>
      <c r="J78" s="43">
        <f t="shared" si="20"/>
        <v>0</v>
      </c>
      <c r="K78" s="44">
        <f t="shared" si="21"/>
        <v>0</v>
      </c>
      <c r="L78" s="229"/>
      <c r="M78" s="229"/>
      <c r="N78" s="81" t="s">
        <v>24</v>
      </c>
      <c r="O78" s="43">
        <f t="shared" si="22"/>
        <v>0</v>
      </c>
      <c r="P78" s="43">
        <f t="shared" si="23"/>
        <v>0</v>
      </c>
      <c r="Q78" s="44">
        <f t="shared" si="24"/>
        <v>0</v>
      </c>
    </row>
    <row r="79" spans="1:18" ht="15.75">
      <c r="A79" s="23">
        <v>69</v>
      </c>
      <c r="B79" s="43">
        <f t="shared" si="15"/>
        <v>0</v>
      </c>
      <c r="C79" s="65">
        <f t="shared" si="16"/>
        <v>0</v>
      </c>
      <c r="D79" s="65">
        <f t="shared" si="17"/>
        <v>0</v>
      </c>
      <c r="E79" s="44">
        <f t="shared" si="18"/>
        <v>0</v>
      </c>
      <c r="G79" s="229"/>
      <c r="H79" s="226" t="s">
        <v>25</v>
      </c>
      <c r="I79" s="43">
        <f t="shared" si="19"/>
        <v>0</v>
      </c>
      <c r="J79" s="43">
        <f t="shared" si="20"/>
        <v>0</v>
      </c>
      <c r="K79" s="44">
        <f t="shared" si="21"/>
        <v>0</v>
      </c>
      <c r="L79" s="229"/>
      <c r="M79" s="229"/>
      <c r="N79" s="81" t="s">
        <v>25</v>
      </c>
      <c r="O79" s="43">
        <f t="shared" si="22"/>
        <v>0</v>
      </c>
      <c r="P79" s="43">
        <f t="shared" si="23"/>
        <v>0</v>
      </c>
      <c r="Q79" s="44">
        <f t="shared" si="24"/>
        <v>0</v>
      </c>
    </row>
    <row r="80" spans="1:18" ht="15.75">
      <c r="A80" s="23">
        <v>70</v>
      </c>
      <c r="B80" s="43">
        <f t="shared" si="15"/>
        <v>0</v>
      </c>
      <c r="C80" s="65">
        <f t="shared" si="16"/>
        <v>0</v>
      </c>
      <c r="D80" s="65">
        <f t="shared" si="17"/>
        <v>0</v>
      </c>
      <c r="E80" s="44">
        <f t="shared" si="18"/>
        <v>0</v>
      </c>
      <c r="G80" s="229"/>
      <c r="H80" s="226" t="s">
        <v>26</v>
      </c>
      <c r="I80" s="43">
        <f t="shared" si="19"/>
        <v>0</v>
      </c>
      <c r="J80" s="43">
        <f t="shared" si="20"/>
        <v>0</v>
      </c>
      <c r="K80" s="44">
        <f t="shared" si="21"/>
        <v>0</v>
      </c>
      <c r="L80" s="229"/>
      <c r="M80" s="229"/>
      <c r="N80" s="81" t="s">
        <v>26</v>
      </c>
      <c r="O80" s="43">
        <f t="shared" si="22"/>
        <v>0</v>
      </c>
      <c r="P80" s="43">
        <f t="shared" si="23"/>
        <v>0</v>
      </c>
      <c r="Q80" s="44">
        <f t="shared" si="24"/>
        <v>0</v>
      </c>
    </row>
    <row r="81" spans="1:17" ht="15.75">
      <c r="A81" s="23">
        <v>71</v>
      </c>
      <c r="B81" s="43">
        <f t="shared" si="15"/>
        <v>0</v>
      </c>
      <c r="C81" s="65">
        <f t="shared" si="16"/>
        <v>0</v>
      </c>
      <c r="D81" s="65">
        <f t="shared" si="17"/>
        <v>0</v>
      </c>
      <c r="E81" s="44">
        <f t="shared" si="18"/>
        <v>0</v>
      </c>
      <c r="G81" s="229"/>
      <c r="H81" s="226" t="s">
        <v>27</v>
      </c>
      <c r="I81" s="43">
        <f t="shared" si="19"/>
        <v>0</v>
      </c>
      <c r="J81" s="43">
        <f t="shared" si="20"/>
        <v>0</v>
      </c>
      <c r="K81" s="44">
        <f t="shared" si="21"/>
        <v>0</v>
      </c>
      <c r="L81" s="229"/>
      <c r="M81" s="229"/>
      <c r="N81" s="81" t="s">
        <v>27</v>
      </c>
      <c r="O81" s="43">
        <f t="shared" si="22"/>
        <v>0</v>
      </c>
      <c r="P81" s="43">
        <f t="shared" si="23"/>
        <v>0</v>
      </c>
      <c r="Q81" s="44">
        <f t="shared" si="24"/>
        <v>0</v>
      </c>
    </row>
    <row r="82" spans="1:17" ht="16.5" thickBot="1">
      <c r="A82" s="26">
        <v>72</v>
      </c>
      <c r="B82" s="48">
        <f t="shared" si="15"/>
        <v>0</v>
      </c>
      <c r="C82" s="78">
        <f t="shared" si="16"/>
        <v>0</v>
      </c>
      <c r="D82" s="78">
        <f t="shared" si="17"/>
        <v>0</v>
      </c>
      <c r="E82" s="49">
        <f t="shared" si="18"/>
        <v>0</v>
      </c>
      <c r="F82" s="243">
        <f>SUM(D71:D82)</f>
        <v>0</v>
      </c>
      <c r="H82" s="47" t="s">
        <v>28</v>
      </c>
      <c r="I82" s="48">
        <f t="shared" si="19"/>
        <v>0</v>
      </c>
      <c r="J82" s="48">
        <f t="shared" si="20"/>
        <v>0</v>
      </c>
      <c r="K82" s="49">
        <f t="shared" si="21"/>
        <v>0</v>
      </c>
      <c r="N82" s="87" t="s">
        <v>28</v>
      </c>
      <c r="O82" s="48">
        <f t="shared" si="22"/>
        <v>0</v>
      </c>
      <c r="P82" s="48">
        <f t="shared" si="23"/>
        <v>0</v>
      </c>
      <c r="Q82" s="49">
        <f t="shared" si="24"/>
        <v>0</v>
      </c>
    </row>
    <row r="83" spans="1:17" ht="13.5" thickTop="1"/>
  </sheetData>
  <sheetProtection sheet="1" formatColumns="0" formatRows="0"/>
  <mergeCells count="10">
    <mergeCell ref="G11:G22"/>
    <mergeCell ref="M11:M22"/>
    <mergeCell ref="G23:G34"/>
    <mergeCell ref="M23:M34"/>
    <mergeCell ref="G59:G70"/>
    <mergeCell ref="M59:M70"/>
    <mergeCell ref="G35:G46"/>
    <mergeCell ref="M35:M46"/>
    <mergeCell ref="G47:G58"/>
    <mergeCell ref="M47:M58"/>
  </mergeCells>
  <phoneticPr fontId="9" type="noConversion"/>
  <dataValidations count="1">
    <dataValidation allowBlank="1" showInputMessage="1" showErrorMessage="1" error="Solo valores enteros comprendidos entre 1 y 5" sqref="I6"/>
  </dataValidations>
  <pageMargins left="0.75" right="0.75" top="1" bottom="1" header="0" footer="0"/>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U83"/>
  <sheetViews>
    <sheetView topLeftCell="D1" zoomScale="75" zoomScaleNormal="75" zoomScaleSheetLayoutView="25" workbookViewId="0">
      <selection activeCell="S13" sqref="S13"/>
    </sheetView>
  </sheetViews>
  <sheetFormatPr baseColWidth="10" defaultColWidth="11.1640625" defaultRowHeight="15.75"/>
  <cols>
    <col min="1" max="1" width="24.6640625" style="9" customWidth="1"/>
    <col min="2" max="5" width="18" style="51" customWidth="1"/>
    <col min="6" max="6" width="10" style="51" customWidth="1"/>
    <col min="7" max="7" width="3.83203125" style="51" customWidth="1"/>
    <col min="8" max="8" width="19.83203125" style="51" customWidth="1"/>
    <col min="9" max="10" width="18" style="51" customWidth="1"/>
    <col min="11" max="11" width="19.33203125" style="51" customWidth="1"/>
    <col min="12" max="12" width="7" style="51" customWidth="1"/>
    <col min="13" max="13" width="3.83203125" style="81" customWidth="1"/>
    <col min="14" max="14" width="19.83203125" style="82" customWidth="1"/>
    <col min="15" max="16" width="18" style="51" customWidth="1"/>
    <col min="17" max="18" width="19.33203125" style="51" customWidth="1"/>
    <col min="19" max="19" width="17.33203125" style="9" customWidth="1"/>
    <col min="20" max="20" width="16.33203125" style="9" customWidth="1"/>
    <col min="21" max="21" width="16" style="9" customWidth="1"/>
    <col min="22" max="16384" width="11.1640625" style="9"/>
  </cols>
  <sheetData>
    <row r="1" spans="1:21" ht="39.950000000000003" customHeight="1" thickBot="1">
      <c r="A1" s="8">
        <f>'1.Datos Básicos. Product-Serv'!B5</f>
        <v>0</v>
      </c>
    </row>
    <row r="2" spans="1:21" ht="39.950000000000003" customHeight="1" thickTop="1" thickBot="1">
      <c r="A2" s="8"/>
      <c r="N2" s="83" t="s">
        <v>68</v>
      </c>
      <c r="O2" s="54" t="s">
        <v>14</v>
      </c>
      <c r="P2" s="54" t="s">
        <v>66</v>
      </c>
      <c r="Q2" s="55" t="s">
        <v>67</v>
      </c>
      <c r="R2" s="56" t="s">
        <v>15</v>
      </c>
      <c r="S2" s="242" t="s">
        <v>419</v>
      </c>
      <c r="T2" s="242" t="s">
        <v>420</v>
      </c>
      <c r="U2"/>
    </row>
    <row r="3" spans="1:21" ht="20.100000000000001" customHeight="1" thickTop="1">
      <c r="A3" s="8" t="s">
        <v>87</v>
      </c>
      <c r="C3" s="105"/>
      <c r="G3" s="50"/>
      <c r="N3" s="27">
        <f>'1.Datos Básicos. Product-Serv'!$B$7</f>
        <v>0</v>
      </c>
      <c r="O3" s="41">
        <f>SUM(O11:O22)</f>
        <v>0</v>
      </c>
      <c r="P3" s="41">
        <f>SUM(P11:P22)</f>
        <v>0</v>
      </c>
      <c r="Q3" s="41">
        <f>SUM(Q11:Q22)</f>
        <v>0</v>
      </c>
      <c r="R3" s="44">
        <f>IF($I$6=1,$B$5-Q3,0)</f>
        <v>0</v>
      </c>
      <c r="S3" s="245">
        <v>0</v>
      </c>
      <c r="T3" s="245">
        <v>0</v>
      </c>
      <c r="U3" s="246">
        <f t="shared" ref="U3:U8" si="0">SUM(S3:T3)</f>
        <v>0</v>
      </c>
    </row>
    <row r="4" spans="1:21" ht="20.100000000000001" customHeight="1" thickBot="1">
      <c r="N4" s="28">
        <f>'1.Datos Básicos. Product-Serv'!$B$7+1</f>
        <v>1</v>
      </c>
      <c r="O4" s="43">
        <f>SUM(O23:O34)</f>
        <v>0</v>
      </c>
      <c r="P4" s="43">
        <f>SUM(P23:P34)</f>
        <v>0</v>
      </c>
      <c r="Q4" s="43">
        <f>SUM(Q23:Q34)</f>
        <v>0</v>
      </c>
      <c r="R4" s="44">
        <f>IF($I$6=1,$B$5-(Q3+Q4),IF($I$6=2,$B$5-Q4,0))</f>
        <v>0</v>
      </c>
      <c r="S4" s="245">
        <v>0</v>
      </c>
      <c r="T4" s="245">
        <v>0</v>
      </c>
      <c r="U4" s="246">
        <f t="shared" si="0"/>
        <v>0</v>
      </c>
    </row>
    <row r="5" spans="1:21" ht="20.100000000000001" customHeight="1" thickTop="1" thickBot="1">
      <c r="A5" s="10" t="s">
        <v>71</v>
      </c>
      <c r="B5" s="118">
        <f>'(0) 3c. Cuadro Renting y L'!N17</f>
        <v>0</v>
      </c>
      <c r="C5" s="57"/>
      <c r="N5" s="28">
        <f>'1.Datos Básicos. Product-Serv'!$B$7+2</f>
        <v>2</v>
      </c>
      <c r="O5" s="43">
        <f>SUM(O35:O46)</f>
        <v>0</v>
      </c>
      <c r="P5" s="43">
        <f>SUM(P35:P46)</f>
        <v>0</v>
      </c>
      <c r="Q5" s="43">
        <f>SUM(Q35:Q46)</f>
        <v>0</v>
      </c>
      <c r="R5" s="44">
        <f>IF($I$6=1,$B$5-(Q3+Q4+Q5),IF($I$6=2,$B$5-(Q4+Q5),IF($I$6=3,$B$5-(Q5),0)))</f>
        <v>0</v>
      </c>
      <c r="S5" s="245">
        <v>0</v>
      </c>
      <c r="T5" s="245">
        <v>0</v>
      </c>
      <c r="U5" s="246">
        <f t="shared" si="0"/>
        <v>0</v>
      </c>
    </row>
    <row r="6" spans="1:21" ht="20.100000000000001" customHeight="1" thickBot="1">
      <c r="A6" s="11" t="s">
        <v>9</v>
      </c>
      <c r="B6" s="230">
        <f>'(0) 3c. Cuadro Renting y L'!N18</f>
        <v>0.05</v>
      </c>
      <c r="C6" s="57"/>
      <c r="D6" s="57"/>
      <c r="E6" s="58" t="s">
        <v>73</v>
      </c>
      <c r="F6" s="59"/>
      <c r="G6" s="60"/>
      <c r="H6" s="60"/>
      <c r="I6" s="110" t="str">
        <f>IF('(0) 3c. Cuadro Renting y L'!N17&gt;0,5,"")</f>
        <v/>
      </c>
      <c r="J6" s="61" t="s">
        <v>75</v>
      </c>
      <c r="N6" s="28">
        <f>'1.Datos Básicos. Product-Serv'!$B$7+3</f>
        <v>3</v>
      </c>
      <c r="O6" s="43">
        <f>SUM(O47:O58)</f>
        <v>0</v>
      </c>
      <c r="P6" s="43">
        <f>SUM(P47:P58)</f>
        <v>0</v>
      </c>
      <c r="Q6" s="43">
        <f>SUM(Q47:Q58)</f>
        <v>0</v>
      </c>
      <c r="R6" s="44">
        <f>IF($I$6=1,$B$5-(Q3+Q4+Q5+Q6),IF($I$6=2,$B$5-(Q4+Q5+Q6),IF($I$6=3,$B$5-(Q5+Q6),IF($I$6=4,$B$5-Q6,0))))</f>
        <v>0</v>
      </c>
      <c r="S6" s="245">
        <v>0</v>
      </c>
      <c r="T6" s="245">
        <v>0</v>
      </c>
      <c r="U6" s="246">
        <f t="shared" si="0"/>
        <v>0</v>
      </c>
    </row>
    <row r="7" spans="1:21" ht="20.100000000000001" customHeight="1" thickBot="1">
      <c r="A7" s="11" t="s">
        <v>10</v>
      </c>
      <c r="B7" s="119">
        <f>'(0) 3c. Cuadro Renting y L'!N19</f>
        <v>4</v>
      </c>
      <c r="C7" s="57"/>
      <c r="N7" s="29">
        <f>'1.Datos Básicos. Product-Serv'!$B$7+4</f>
        <v>4</v>
      </c>
      <c r="O7" s="48">
        <f>SUM(O59:O70)</f>
        <v>0</v>
      </c>
      <c r="P7" s="48">
        <f>SUM(P59:P70)</f>
        <v>0</v>
      </c>
      <c r="Q7" s="48">
        <f>SUM(Q59:Q70)</f>
        <v>0</v>
      </c>
      <c r="R7" s="49">
        <f>IF($I$6=1,$B$5-(Q3+Q4+Q5+Q6+Q7),IF($I$6=2,$B$5-(Q4+Q5+Q6+Q7),IF($I$6=3,$B$5-(Q5+Q6+Q7),IF($I$6=4,$B$5-(Q6+Q7),IF($I$6=5,$B$5-Q7,0)))))</f>
        <v>0</v>
      </c>
      <c r="S7" s="245">
        <f>IF($E$22=0,0,$E$22-$F$34)</f>
        <v>0</v>
      </c>
      <c r="T7" s="245">
        <f>$F$34</f>
        <v>0</v>
      </c>
      <c r="U7" s="246">
        <f t="shared" si="0"/>
        <v>0</v>
      </c>
    </row>
    <row r="8" spans="1:21" ht="20.100000000000001" customHeight="1" thickTop="1" thickBot="1">
      <c r="A8" s="16" t="s">
        <v>12</v>
      </c>
      <c r="B8" s="120">
        <f>'(0) 3c. Cuadro Renting y L'!N20</f>
        <v>12</v>
      </c>
      <c r="C8" s="57"/>
      <c r="N8" s="228">
        <f>'1.Datos Básicos. Product-Serv'!$B$7+5</f>
        <v>5</v>
      </c>
      <c r="O8" s="48">
        <f>SUM(O71:O82)</f>
        <v>0</v>
      </c>
      <c r="P8" s="48">
        <f>SUM(P71:P82)</f>
        <v>0</v>
      </c>
      <c r="Q8" s="48">
        <f>SUM(Q71:Q82)</f>
        <v>0</v>
      </c>
      <c r="R8" s="49">
        <f>IF($I$6=1,$B$5-(Q3+Q4+Q5+Q6+Q7+Q8),IF($I$6=2,$B$5-(Q4+Q5+Q6+Q7+Q8),IF($I$6=3,$B$5-(Q5+Q6+Q7+Q8),IF($I$6=4,$B$5-(Q6+Q7+Q8),IF($I$6=5,$B$5-(Q7+Q8),IF($I$6=6,$B$5-Q8,0))))))</f>
        <v>0</v>
      </c>
      <c r="S8" s="244"/>
      <c r="T8" s="244"/>
      <c r="U8" s="246">
        <f t="shared" si="0"/>
        <v>0</v>
      </c>
    </row>
    <row r="9" spans="1:21" ht="20.100000000000001" customHeight="1" thickTop="1" thickBot="1">
      <c r="N9" s="81"/>
    </row>
    <row r="10" spans="1:21" ht="33" customHeight="1" thickTop="1" thickBot="1">
      <c r="A10" s="17" t="s">
        <v>13</v>
      </c>
      <c r="B10" s="62" t="s">
        <v>14</v>
      </c>
      <c r="C10" s="62" t="s">
        <v>64</v>
      </c>
      <c r="D10" s="62" t="s">
        <v>65</v>
      </c>
      <c r="E10" s="63" t="s">
        <v>15</v>
      </c>
      <c r="F10" s="64"/>
      <c r="H10" s="53" t="s">
        <v>42</v>
      </c>
      <c r="I10" s="62" t="s">
        <v>14</v>
      </c>
      <c r="J10" s="62" t="s">
        <v>66</v>
      </c>
      <c r="K10" s="63" t="s">
        <v>67</v>
      </c>
      <c r="L10" s="64"/>
      <c r="M10" s="84"/>
      <c r="N10" s="83" t="s">
        <v>42</v>
      </c>
      <c r="O10" s="54" t="s">
        <v>14</v>
      </c>
      <c r="P10" s="54" t="s">
        <v>66</v>
      </c>
      <c r="Q10" s="56" t="s">
        <v>67</v>
      </c>
    </row>
    <row r="11" spans="1:21" ht="15.75" customHeight="1" thickTop="1">
      <c r="A11" s="21">
        <v>1</v>
      </c>
      <c r="B11" s="43">
        <f t="shared" ref="B11:B70" si="1">IF(E10&gt;0,PMT($B$6/12,$B$7*$B$8,-$B$5,,1),0)</f>
        <v>0</v>
      </c>
      <c r="C11" s="232">
        <f>IF(E10&gt;0,B11-D11,0)+'(0) 3c. Cuadro Renting y L'!N21</f>
        <v>0</v>
      </c>
      <c r="D11" s="66">
        <f>B11</f>
        <v>0</v>
      </c>
      <c r="E11" s="67">
        <f>Capital-D11</f>
        <v>0</v>
      </c>
      <c r="G11" s="4200">
        <f>IF($B$5=0,$N$3,IF(O3&gt;0,N3,IF(O4&gt;0,N4,IF(O5&gt;0,N5,IF(O6&gt;0,N6,N7)))))</f>
        <v>0</v>
      </c>
      <c r="H11" s="40" t="s">
        <v>17</v>
      </c>
      <c r="I11" s="41">
        <f>$B$11</f>
        <v>0</v>
      </c>
      <c r="J11" s="41">
        <f>C11</f>
        <v>0</v>
      </c>
      <c r="K11" s="68">
        <f>D11</f>
        <v>0</v>
      </c>
      <c r="M11" s="4200">
        <f>'1.Datos Básicos. Product-Serv'!$B$7</f>
        <v>0</v>
      </c>
      <c r="N11" s="85" t="s">
        <v>17</v>
      </c>
      <c r="O11" s="41">
        <f>IF($I$6=1,I11,0)</f>
        <v>0</v>
      </c>
      <c r="P11" s="41">
        <f t="shared" ref="P11:Q22" si="2">IF($I$6=1,J11,0)</f>
        <v>0</v>
      </c>
      <c r="Q11" s="42">
        <f t="shared" si="2"/>
        <v>0</v>
      </c>
    </row>
    <row r="12" spans="1:21" ht="15.75" customHeight="1">
      <c r="A12" s="23">
        <v>2</v>
      </c>
      <c r="B12" s="43">
        <f t="shared" si="1"/>
        <v>0</v>
      </c>
      <c r="C12" s="65">
        <f t="shared" ref="C12:C70" si="3">IF(E11&gt;0,B12-D12,0)</f>
        <v>0</v>
      </c>
      <c r="D12" s="65">
        <f t="shared" ref="D12:D70" si="4">IF(E11&gt;0,B12-(E11*(Interes/12)),0)</f>
        <v>0</v>
      </c>
      <c r="E12" s="68">
        <f t="shared" ref="E12:E70" si="5">IF(E11&gt;0,IF((E11-D12)&gt;0.01,E11-D12,0),0)</f>
        <v>0</v>
      </c>
      <c r="G12" s="4201"/>
      <c r="H12" s="40" t="s">
        <v>18</v>
      </c>
      <c r="I12" s="43">
        <f>IF($B$8=12,B12,0)</f>
        <v>0</v>
      </c>
      <c r="J12" s="43">
        <f>IF($B$8=12,C12,0)</f>
        <v>0</v>
      </c>
      <c r="K12" s="68">
        <f>IF($B$8=12,D12,0)</f>
        <v>0</v>
      </c>
      <c r="M12" s="4201"/>
      <c r="N12" s="81" t="s">
        <v>18</v>
      </c>
      <c r="O12" s="43">
        <f t="shared" ref="O12:O22" si="6">IF($I$6=1,I12,0)</f>
        <v>0</v>
      </c>
      <c r="P12" s="43">
        <f t="shared" si="2"/>
        <v>0</v>
      </c>
      <c r="Q12" s="44">
        <f t="shared" si="2"/>
        <v>0</v>
      </c>
    </row>
    <row r="13" spans="1:21" ht="15.75" customHeight="1">
      <c r="A13" s="23">
        <v>3</v>
      </c>
      <c r="B13" s="43">
        <f t="shared" si="1"/>
        <v>0</v>
      </c>
      <c r="C13" s="65">
        <f t="shared" si="3"/>
        <v>0</v>
      </c>
      <c r="D13" s="65">
        <f t="shared" si="4"/>
        <v>0</v>
      </c>
      <c r="E13" s="68">
        <f t="shared" si="5"/>
        <v>0</v>
      </c>
      <c r="G13" s="4201"/>
      <c r="H13" s="40" t="s">
        <v>19</v>
      </c>
      <c r="I13" s="43">
        <f>IF($B$8=12,B13,IF($B$8=6,B12,0))</f>
        <v>0</v>
      </c>
      <c r="J13" s="43">
        <f>IF($B$8=12,C13,IF($B$8=6,C12,0))</f>
        <v>0</v>
      </c>
      <c r="K13" s="68">
        <f>IF($B$8=12,D13,IF($B$8=6,D12,0))</f>
        <v>0</v>
      </c>
      <c r="M13" s="4201"/>
      <c r="N13" s="81" t="s">
        <v>19</v>
      </c>
      <c r="O13" s="43">
        <f t="shared" si="6"/>
        <v>0</v>
      </c>
      <c r="P13" s="43">
        <f t="shared" si="2"/>
        <v>0</v>
      </c>
      <c r="Q13" s="44">
        <f t="shared" si="2"/>
        <v>0</v>
      </c>
    </row>
    <row r="14" spans="1:21" ht="15.75" customHeight="1">
      <c r="A14" s="23">
        <v>4</v>
      </c>
      <c r="B14" s="43">
        <f t="shared" si="1"/>
        <v>0</v>
      </c>
      <c r="C14" s="65">
        <f t="shared" si="3"/>
        <v>0</v>
      </c>
      <c r="D14" s="65">
        <f t="shared" si="4"/>
        <v>0</v>
      </c>
      <c r="E14" s="68">
        <f t="shared" si="5"/>
        <v>0</v>
      </c>
      <c r="G14" s="4201"/>
      <c r="H14" s="40" t="s">
        <v>20</v>
      </c>
      <c r="I14" s="43">
        <f>IF($B$8=12,B14,IF($B$8=4,B12,IF($B$8=6,0,IF($B$8=3,0,0))))</f>
        <v>0</v>
      </c>
      <c r="J14" s="43">
        <f>IF($B$8=12,C14,IF($B$8=4,C12,IF($B$8=6,0,IF($B$8=3,0,0))))</f>
        <v>0</v>
      </c>
      <c r="K14" s="68">
        <f>IF($B$8=12,D14,IF($B$8=4,D12,IF($B$8=6,0,IF($B$8=3,0,0))))</f>
        <v>0</v>
      </c>
      <c r="M14" s="4201"/>
      <c r="N14" s="81" t="s">
        <v>20</v>
      </c>
      <c r="O14" s="43">
        <f t="shared" si="6"/>
        <v>0</v>
      </c>
      <c r="P14" s="43">
        <f t="shared" si="2"/>
        <v>0</v>
      </c>
      <c r="Q14" s="44">
        <f t="shared" si="2"/>
        <v>0</v>
      </c>
    </row>
    <row r="15" spans="1:21" ht="15.75" customHeight="1">
      <c r="A15" s="23">
        <v>5</v>
      </c>
      <c r="B15" s="43">
        <f t="shared" si="1"/>
        <v>0</v>
      </c>
      <c r="C15" s="65">
        <f t="shared" si="3"/>
        <v>0</v>
      </c>
      <c r="D15" s="65">
        <f t="shared" si="4"/>
        <v>0</v>
      </c>
      <c r="E15" s="68">
        <f t="shared" si="5"/>
        <v>0</v>
      </c>
      <c r="G15" s="4201"/>
      <c r="H15" s="40" t="s">
        <v>21</v>
      </c>
      <c r="I15" s="43">
        <f>IF($B$8=12,B15,IF($B$8=4,0,IF($B$8=6,B13,IF($B$8=3,B12,0))))</f>
        <v>0</v>
      </c>
      <c r="J15" s="43">
        <f>IF($B$8=12,C15,IF($B$8=4,0,IF($B$8=6,C13,IF($B$8=3,C12,0))))</f>
        <v>0</v>
      </c>
      <c r="K15" s="68">
        <f>IF($B$8=12,D15,IF($B$8=4,0,IF($B$8=6,D13,IF($B$8=3,D12,0))))</f>
        <v>0</v>
      </c>
      <c r="M15" s="4201"/>
      <c r="N15" s="81" t="s">
        <v>21</v>
      </c>
      <c r="O15" s="43">
        <f t="shared" si="6"/>
        <v>0</v>
      </c>
      <c r="P15" s="43">
        <f t="shared" si="2"/>
        <v>0</v>
      </c>
      <c r="Q15" s="44">
        <f t="shared" si="2"/>
        <v>0</v>
      </c>
    </row>
    <row r="16" spans="1:21" ht="15.75" customHeight="1">
      <c r="A16" s="23">
        <v>6</v>
      </c>
      <c r="B16" s="43">
        <f t="shared" si="1"/>
        <v>0</v>
      </c>
      <c r="C16" s="65">
        <f t="shared" si="3"/>
        <v>0</v>
      </c>
      <c r="D16" s="65">
        <f t="shared" si="4"/>
        <v>0</v>
      </c>
      <c r="E16" s="68">
        <f t="shared" si="5"/>
        <v>0</v>
      </c>
      <c r="G16" s="4201"/>
      <c r="H16" s="40" t="s">
        <v>22</v>
      </c>
      <c r="I16" s="43">
        <f>IF($B$8=12,B16,IF($B$8=4,0,IF($B$8=6,0,IF($B$8=3,0,0))))</f>
        <v>0</v>
      </c>
      <c r="J16" s="43">
        <f>IF($B$8=12,C16,IF($B$8=4,0,IF($B$8=6,0,IF($B$8=3,0,0))))</f>
        <v>0</v>
      </c>
      <c r="K16" s="68">
        <f>IF($B$8=12,D16,IF($B$8=4,0,IF($B$8=6,0,IF($B$8=3,0,0))))</f>
        <v>0</v>
      </c>
      <c r="M16" s="4201"/>
      <c r="N16" s="81" t="s">
        <v>22</v>
      </c>
      <c r="O16" s="43">
        <f t="shared" si="6"/>
        <v>0</v>
      </c>
      <c r="P16" s="43">
        <f t="shared" si="2"/>
        <v>0</v>
      </c>
      <c r="Q16" s="44">
        <f t="shared" si="2"/>
        <v>0</v>
      </c>
    </row>
    <row r="17" spans="1:17" ht="15.75" customHeight="1">
      <c r="A17" s="23">
        <v>7</v>
      </c>
      <c r="B17" s="43">
        <f t="shared" si="1"/>
        <v>0</v>
      </c>
      <c r="C17" s="65">
        <f t="shared" si="3"/>
        <v>0</v>
      </c>
      <c r="D17" s="65">
        <f t="shared" si="4"/>
        <v>0</v>
      </c>
      <c r="E17" s="68">
        <f t="shared" si="5"/>
        <v>0</v>
      </c>
      <c r="G17" s="4201"/>
      <c r="H17" s="40" t="s">
        <v>23</v>
      </c>
      <c r="I17" s="43">
        <f>IF($B$8=12,B17,IF($B$8=4,B13,IF($B$8=6,B14,IF($B$8=3,0,IF($B$8=2,B12,0)))))</f>
        <v>0</v>
      </c>
      <c r="J17" s="43">
        <f>IF($B$8=12,C17,IF($B$8=4,C13,IF($B$8=6,C14,IF($B$8=3,0,IF($B$8=2,C12,0)))))</f>
        <v>0</v>
      </c>
      <c r="K17" s="68">
        <f>IF($B$8=12,D17,IF($B$8=4,D13,IF($B$8=6,D14,IF($B$8=3,0,IF($B$8=2,D12,0)))))</f>
        <v>0</v>
      </c>
      <c r="M17" s="4201"/>
      <c r="N17" s="81" t="s">
        <v>23</v>
      </c>
      <c r="O17" s="43">
        <f t="shared" si="6"/>
        <v>0</v>
      </c>
      <c r="P17" s="43">
        <f t="shared" si="2"/>
        <v>0</v>
      </c>
      <c r="Q17" s="44">
        <f t="shared" si="2"/>
        <v>0</v>
      </c>
    </row>
    <row r="18" spans="1:17" ht="15.75" customHeight="1">
      <c r="A18" s="23">
        <v>8</v>
      </c>
      <c r="B18" s="43">
        <f t="shared" si="1"/>
        <v>0</v>
      </c>
      <c r="C18" s="65">
        <f t="shared" si="3"/>
        <v>0</v>
      </c>
      <c r="D18" s="65">
        <f t="shared" si="4"/>
        <v>0</v>
      </c>
      <c r="E18" s="68">
        <f t="shared" si="5"/>
        <v>0</v>
      </c>
      <c r="G18" s="4201"/>
      <c r="H18" s="40" t="s">
        <v>24</v>
      </c>
      <c r="I18" s="43">
        <f>IF($B$8=12,B18,IF($B$8=4,0,IF($B$8=6,0,IF($B$8=3,0,0))))</f>
        <v>0</v>
      </c>
      <c r="J18" s="43">
        <f>IF($B$8=12,C18,IF($B$8=4,0,IF($B$8=6,0,IF($B$8=3,0,0))))</f>
        <v>0</v>
      </c>
      <c r="K18" s="68">
        <f>IF($B$8=12,D18,IF($B$8=4,0,IF($B$8=6,0,IF($B$8=3,0,0))))</f>
        <v>0</v>
      </c>
      <c r="M18" s="4201"/>
      <c r="N18" s="81" t="s">
        <v>24</v>
      </c>
      <c r="O18" s="43">
        <f t="shared" si="6"/>
        <v>0</v>
      </c>
      <c r="P18" s="43">
        <f t="shared" si="2"/>
        <v>0</v>
      </c>
      <c r="Q18" s="44">
        <f t="shared" si="2"/>
        <v>0</v>
      </c>
    </row>
    <row r="19" spans="1:17" ht="15.75" customHeight="1">
      <c r="A19" s="23">
        <v>9</v>
      </c>
      <c r="B19" s="43">
        <f t="shared" si="1"/>
        <v>0</v>
      </c>
      <c r="C19" s="65">
        <f t="shared" si="3"/>
        <v>0</v>
      </c>
      <c r="D19" s="65">
        <f t="shared" si="4"/>
        <v>0</v>
      </c>
      <c r="E19" s="68">
        <f t="shared" si="5"/>
        <v>0</v>
      </c>
      <c r="G19" s="4201"/>
      <c r="H19" s="40" t="s">
        <v>25</v>
      </c>
      <c r="I19" s="43">
        <f>IF($B$8=12,B19,IF($B$8=4,0,IF($B$8=6,B15,IF($B$8=3,B13,0))))</f>
        <v>0</v>
      </c>
      <c r="J19" s="43">
        <f>IF($B$8=12,C19,IF($B$8=4,0,IF($B$8=6,C15,IF($B$8=3,C13,0))))</f>
        <v>0</v>
      </c>
      <c r="K19" s="68">
        <f>IF($B$8=12,D19,IF($B$8=4,0,IF($B$8=6,D15,IF($B$8=3,D13,0))))</f>
        <v>0</v>
      </c>
      <c r="M19" s="4201"/>
      <c r="N19" s="81" t="s">
        <v>25</v>
      </c>
      <c r="O19" s="43">
        <f t="shared" si="6"/>
        <v>0</v>
      </c>
      <c r="P19" s="43">
        <f t="shared" si="2"/>
        <v>0</v>
      </c>
      <c r="Q19" s="44">
        <f t="shared" si="2"/>
        <v>0</v>
      </c>
    </row>
    <row r="20" spans="1:17" ht="15.75" customHeight="1">
      <c r="A20" s="23">
        <v>10</v>
      </c>
      <c r="B20" s="43">
        <f t="shared" si="1"/>
        <v>0</v>
      </c>
      <c r="C20" s="65">
        <f t="shared" si="3"/>
        <v>0</v>
      </c>
      <c r="D20" s="65">
        <f t="shared" si="4"/>
        <v>0</v>
      </c>
      <c r="E20" s="68">
        <f t="shared" si="5"/>
        <v>0</v>
      </c>
      <c r="G20" s="4201"/>
      <c r="H20" s="40" t="s">
        <v>26</v>
      </c>
      <c r="I20" s="43">
        <f>IF($B$8=12,B20,IF($B$8=4,B14,IF($B$8=6,0,IF($B$8=3,0,0))))</f>
        <v>0</v>
      </c>
      <c r="J20" s="43">
        <f>IF($B$8=12,C20,IF($B$8=4,C14,IF($B$8=6,0,IF($B$8=3,0,0))))</f>
        <v>0</v>
      </c>
      <c r="K20" s="68">
        <f>IF($B$8=12,D20,IF($B$8=4,D14,IF($B$8=6,0,IF($B$8=3,0,0))))</f>
        <v>0</v>
      </c>
      <c r="M20" s="4201"/>
      <c r="N20" s="81" t="s">
        <v>26</v>
      </c>
      <c r="O20" s="43">
        <f t="shared" si="6"/>
        <v>0</v>
      </c>
      <c r="P20" s="43">
        <f t="shared" si="2"/>
        <v>0</v>
      </c>
      <c r="Q20" s="44">
        <f t="shared" si="2"/>
        <v>0</v>
      </c>
    </row>
    <row r="21" spans="1:17" ht="15.75" customHeight="1">
      <c r="A21" s="23">
        <v>11</v>
      </c>
      <c r="B21" s="43">
        <f t="shared" si="1"/>
        <v>0</v>
      </c>
      <c r="C21" s="65">
        <f t="shared" si="3"/>
        <v>0</v>
      </c>
      <c r="D21" s="65">
        <f t="shared" si="4"/>
        <v>0</v>
      </c>
      <c r="E21" s="68">
        <f t="shared" si="5"/>
        <v>0</v>
      </c>
      <c r="G21" s="4201"/>
      <c r="H21" s="40" t="s">
        <v>27</v>
      </c>
      <c r="I21" s="43">
        <f>IF($B$8=12,B21,IF($B$8=4,0,IF($B$8=6,B16,IF($B$8=3,0,0))))</f>
        <v>0</v>
      </c>
      <c r="J21" s="43">
        <f>IF($B$8=12,C21,IF($B$8=4,0,IF($B$8=6,C16,IF($B$8=3,0,0))))</f>
        <v>0</v>
      </c>
      <c r="K21" s="68">
        <f>IF($B$8=12,D21,IF($B$8=4,0,IF($B$8=6,D16,IF($B$8=3,0,0))))</f>
        <v>0</v>
      </c>
      <c r="M21" s="4201"/>
      <c r="N21" s="81" t="s">
        <v>27</v>
      </c>
      <c r="O21" s="43">
        <f t="shared" si="6"/>
        <v>0</v>
      </c>
      <c r="P21" s="43">
        <f t="shared" si="2"/>
        <v>0</v>
      </c>
      <c r="Q21" s="44">
        <f t="shared" si="2"/>
        <v>0</v>
      </c>
    </row>
    <row r="22" spans="1:17" ht="15.75" customHeight="1" thickBot="1">
      <c r="A22" s="24">
        <v>12</v>
      </c>
      <c r="B22" s="70">
        <f t="shared" si="1"/>
        <v>0</v>
      </c>
      <c r="C22" s="71">
        <f t="shared" si="3"/>
        <v>0</v>
      </c>
      <c r="D22" s="71">
        <f t="shared" si="4"/>
        <v>0</v>
      </c>
      <c r="E22" s="68">
        <f t="shared" si="5"/>
        <v>0</v>
      </c>
      <c r="F22" s="243">
        <f>SUM(D11:D22)</f>
        <v>0</v>
      </c>
      <c r="G22" s="4202"/>
      <c r="H22" s="73" t="s">
        <v>28</v>
      </c>
      <c r="I22" s="70">
        <f>IF($B$8=12,B22,IF($B$8=4,0,IF($B$8=6,0,IF($B$8=3,0,0))))</f>
        <v>0</v>
      </c>
      <c r="J22" s="70">
        <f>IF($B$8=12,C22,IF($B$8=4,0,IF($B$8=6,0,IF($B$8=3,0,0))))</f>
        <v>0</v>
      </c>
      <c r="K22" s="72">
        <f>IF($B$8=12,D22,IF($B$8=4,0,IF($B$8=6,0,IF($B$8=3,0,0))))</f>
        <v>0</v>
      </c>
      <c r="M22" s="4202"/>
      <c r="N22" s="86" t="s">
        <v>28</v>
      </c>
      <c r="O22" s="45">
        <f t="shared" si="6"/>
        <v>0</v>
      </c>
      <c r="P22" s="45">
        <f t="shared" si="2"/>
        <v>0</v>
      </c>
      <c r="Q22" s="46">
        <f t="shared" si="2"/>
        <v>0</v>
      </c>
    </row>
    <row r="23" spans="1:17" ht="15.75" customHeight="1">
      <c r="A23" s="23">
        <v>13</v>
      </c>
      <c r="B23" s="43">
        <f t="shared" si="1"/>
        <v>0</v>
      </c>
      <c r="C23" s="65">
        <f t="shared" si="3"/>
        <v>0</v>
      </c>
      <c r="D23" s="65">
        <f t="shared" si="4"/>
        <v>0</v>
      </c>
      <c r="E23" s="109">
        <f t="shared" si="5"/>
        <v>0</v>
      </c>
      <c r="G23" s="4200">
        <f>G11+1</f>
        <v>1</v>
      </c>
      <c r="H23" s="40" t="s">
        <v>17</v>
      </c>
      <c r="I23" s="43">
        <f>IF($B$8=12,B23,IF($B$8=4,B15,IF($B$8=6,B17,IF($B$8=3,B14,IF($B$8=2,B13,IF($B$8,B12,0))))))</f>
        <v>0</v>
      </c>
      <c r="J23" s="43">
        <f>IF($B$8=12,C23,IF($B$8=4,C15,IF($B$8=6,C17,IF($B$8=3,C14,IF($B$8=2,C13,IF($B$8,C12,0))))))</f>
        <v>0</v>
      </c>
      <c r="K23" s="44">
        <f>IF($B$8=12,D23,IF($B$8=4,D15,IF($B$8=6,D17,IF($B$8=3,D14,IF($B$8=2,D13,IF($B$8,D12,0))))))</f>
        <v>0</v>
      </c>
      <c r="M23" s="4200">
        <f>'1.Datos Básicos. Product-Serv'!$B$7+1</f>
        <v>1</v>
      </c>
      <c r="N23" s="81" t="s">
        <v>17</v>
      </c>
      <c r="O23" s="43">
        <f>IF($I$6=2,I11,IF($I$6=1,I23,0))</f>
        <v>0</v>
      </c>
      <c r="P23" s="43">
        <f t="shared" ref="P23:Q34" si="7">IF($I$6=2,J11,IF($I$6=1,J23,0))</f>
        <v>0</v>
      </c>
      <c r="Q23" s="44">
        <f t="shared" si="7"/>
        <v>0</v>
      </c>
    </row>
    <row r="24" spans="1:17" ht="15.75" customHeight="1">
      <c r="A24" s="23">
        <v>14</v>
      </c>
      <c r="B24" s="43">
        <f t="shared" si="1"/>
        <v>0</v>
      </c>
      <c r="C24" s="65">
        <f t="shared" si="3"/>
        <v>0</v>
      </c>
      <c r="D24" s="65">
        <f t="shared" si="4"/>
        <v>0</v>
      </c>
      <c r="E24" s="68">
        <f t="shared" si="5"/>
        <v>0</v>
      </c>
      <c r="G24" s="4201"/>
      <c r="H24" s="40" t="s">
        <v>18</v>
      </c>
      <c r="I24" s="43">
        <f>IF($B$8=12,B24,0)</f>
        <v>0</v>
      </c>
      <c r="J24" s="43">
        <f>IF($B$8=12,C24,0)</f>
        <v>0</v>
      </c>
      <c r="K24" s="44">
        <f>IF($B$8=12,D24,0)</f>
        <v>0</v>
      </c>
      <c r="M24" s="4201"/>
      <c r="N24" s="81" t="s">
        <v>18</v>
      </c>
      <c r="O24" s="43">
        <f t="shared" ref="O24:O34" si="8">IF($I$6=2,I12,IF($I$6=1,I24,0))</f>
        <v>0</v>
      </c>
      <c r="P24" s="43">
        <f t="shared" si="7"/>
        <v>0</v>
      </c>
      <c r="Q24" s="44">
        <f t="shared" si="7"/>
        <v>0</v>
      </c>
    </row>
    <row r="25" spans="1:17" ht="15.75" customHeight="1">
      <c r="A25" s="23">
        <v>15</v>
      </c>
      <c r="B25" s="43">
        <f t="shared" si="1"/>
        <v>0</v>
      </c>
      <c r="C25" s="65">
        <f t="shared" si="3"/>
        <v>0</v>
      </c>
      <c r="D25" s="65">
        <f t="shared" si="4"/>
        <v>0</v>
      </c>
      <c r="E25" s="68">
        <f t="shared" si="5"/>
        <v>0</v>
      </c>
      <c r="G25" s="4201"/>
      <c r="H25" s="40" t="s">
        <v>19</v>
      </c>
      <c r="I25" s="43">
        <f>IF($B$8=12,B25,IF($B$8=6,B18,0))</f>
        <v>0</v>
      </c>
      <c r="J25" s="43">
        <f>IF($B$8=12,C25,IF($B$8=6,C18,0))</f>
        <v>0</v>
      </c>
      <c r="K25" s="44">
        <f>IF($B$8=12,D25,IF($B$8=6,D18,0))</f>
        <v>0</v>
      </c>
      <c r="M25" s="4201"/>
      <c r="N25" s="81" t="s">
        <v>19</v>
      </c>
      <c r="O25" s="43">
        <f t="shared" si="8"/>
        <v>0</v>
      </c>
      <c r="P25" s="43">
        <f t="shared" si="7"/>
        <v>0</v>
      </c>
      <c r="Q25" s="44">
        <f t="shared" si="7"/>
        <v>0</v>
      </c>
    </row>
    <row r="26" spans="1:17" ht="15.75" customHeight="1">
      <c r="A26" s="23">
        <v>16</v>
      </c>
      <c r="B26" s="43">
        <f t="shared" si="1"/>
        <v>0</v>
      </c>
      <c r="C26" s="65">
        <f t="shared" si="3"/>
        <v>0</v>
      </c>
      <c r="D26" s="65">
        <f t="shared" si="4"/>
        <v>0</v>
      </c>
      <c r="E26" s="68">
        <f t="shared" si="5"/>
        <v>0</v>
      </c>
      <c r="G26" s="4201"/>
      <c r="H26" s="40" t="s">
        <v>20</v>
      </c>
      <c r="I26" s="43">
        <f>IF($B$8=12,B26,IF($B$8=4,B16,IF($B$8=6,0,IF($B$8=3,0,0))))</f>
        <v>0</v>
      </c>
      <c r="J26" s="43">
        <f>IF($B$8=12,C26,IF($B$8=4,C16,IF($B$8=6,0,IF($B$8=3,0,0))))</f>
        <v>0</v>
      </c>
      <c r="K26" s="44">
        <f>IF($B$8=12,D26,IF($B$8=4,D16,IF($B$8=6,0,IF($B$8=3,0,0))))</f>
        <v>0</v>
      </c>
      <c r="M26" s="4201"/>
      <c r="N26" s="81" t="s">
        <v>20</v>
      </c>
      <c r="O26" s="43">
        <f t="shared" si="8"/>
        <v>0</v>
      </c>
      <c r="P26" s="43">
        <f t="shared" si="7"/>
        <v>0</v>
      </c>
      <c r="Q26" s="44">
        <f t="shared" si="7"/>
        <v>0</v>
      </c>
    </row>
    <row r="27" spans="1:17" ht="15.75" customHeight="1">
      <c r="A27" s="23">
        <v>17</v>
      </c>
      <c r="B27" s="43">
        <f t="shared" si="1"/>
        <v>0</v>
      </c>
      <c r="C27" s="65">
        <f t="shared" si="3"/>
        <v>0</v>
      </c>
      <c r="D27" s="65">
        <f t="shared" si="4"/>
        <v>0</v>
      </c>
      <c r="E27" s="68">
        <f t="shared" si="5"/>
        <v>0</v>
      </c>
      <c r="G27" s="4201"/>
      <c r="H27" s="40" t="s">
        <v>21</v>
      </c>
      <c r="I27" s="43">
        <f>IF($B$8=12,B27,IF($B$8=4,0,IF($B$8=6,B19,IF($B$8=3,B15,0))))</f>
        <v>0</v>
      </c>
      <c r="J27" s="43">
        <f>IF($B$8=12,C27,IF($B$8=4,0,IF($B$8=6,C19,IF($B$8=3,C15,0))))</f>
        <v>0</v>
      </c>
      <c r="K27" s="44">
        <f>IF($B$8=12,D27,IF($B$8=4,0,IF($B$8=6,D19,IF($B$8=3,D15,0))))</f>
        <v>0</v>
      </c>
      <c r="M27" s="4201"/>
      <c r="N27" s="81" t="s">
        <v>21</v>
      </c>
      <c r="O27" s="43">
        <f t="shared" si="8"/>
        <v>0</v>
      </c>
      <c r="P27" s="43">
        <f t="shared" si="7"/>
        <v>0</v>
      </c>
      <c r="Q27" s="44">
        <f t="shared" si="7"/>
        <v>0</v>
      </c>
    </row>
    <row r="28" spans="1:17" ht="15.75" customHeight="1">
      <c r="A28" s="23">
        <v>18</v>
      </c>
      <c r="B28" s="43">
        <f t="shared" si="1"/>
        <v>0</v>
      </c>
      <c r="C28" s="65">
        <f t="shared" si="3"/>
        <v>0</v>
      </c>
      <c r="D28" s="65">
        <f t="shared" si="4"/>
        <v>0</v>
      </c>
      <c r="E28" s="68">
        <f t="shared" si="5"/>
        <v>0</v>
      </c>
      <c r="G28" s="4201"/>
      <c r="H28" s="40" t="s">
        <v>22</v>
      </c>
      <c r="I28" s="43">
        <f>IF($B$8=12,B28,IF($B$8=4,0,IF($B$8=6,0,IF($B$8=3,0,0))))</f>
        <v>0</v>
      </c>
      <c r="J28" s="43">
        <f>IF($B$8=12,C28,IF($B$8=4,0,IF($B$8=6,0,IF($B$8=3,0,0))))</f>
        <v>0</v>
      </c>
      <c r="K28" s="44">
        <f>IF($B$8=12,D28,IF($B$8=4,0,IF($B$8=6,0,IF($B$8=3,0,0))))</f>
        <v>0</v>
      </c>
      <c r="M28" s="4201"/>
      <c r="N28" s="81" t="s">
        <v>22</v>
      </c>
      <c r="O28" s="43">
        <f t="shared" si="8"/>
        <v>0</v>
      </c>
      <c r="P28" s="43">
        <f t="shared" si="7"/>
        <v>0</v>
      </c>
      <c r="Q28" s="44">
        <f t="shared" si="7"/>
        <v>0</v>
      </c>
    </row>
    <row r="29" spans="1:17" ht="15.75" customHeight="1">
      <c r="A29" s="23">
        <v>19</v>
      </c>
      <c r="B29" s="43">
        <f t="shared" si="1"/>
        <v>0</v>
      </c>
      <c r="C29" s="65">
        <f t="shared" si="3"/>
        <v>0</v>
      </c>
      <c r="D29" s="65">
        <f t="shared" si="4"/>
        <v>0</v>
      </c>
      <c r="E29" s="68">
        <f t="shared" si="5"/>
        <v>0</v>
      </c>
      <c r="G29" s="4201"/>
      <c r="H29" s="40" t="s">
        <v>23</v>
      </c>
      <c r="I29" s="43">
        <f>IF($B$8=12,B29,IF($B$8=4,B17,IF($B$8=6,B20,IF($B$8=3,0,IF($B$8=2,B14,0)))))</f>
        <v>0</v>
      </c>
      <c r="J29" s="43">
        <f>IF($B$8=12,C29,IF($B$8=4,C17,IF($B$8=6,C20,IF($B$8=3,0,IF($B$8=2,C14,0)))))</f>
        <v>0</v>
      </c>
      <c r="K29" s="44">
        <f>IF($B$8=12,D29,IF($B$8=4,D17,IF($B$8=6,D20,IF($B$8=3,0,IF($B$8=2,D14,0)))))</f>
        <v>0</v>
      </c>
      <c r="M29" s="4201"/>
      <c r="N29" s="81" t="s">
        <v>23</v>
      </c>
      <c r="O29" s="43">
        <f t="shared" si="8"/>
        <v>0</v>
      </c>
      <c r="P29" s="43">
        <f t="shared" si="7"/>
        <v>0</v>
      </c>
      <c r="Q29" s="44">
        <f t="shared" si="7"/>
        <v>0</v>
      </c>
    </row>
    <row r="30" spans="1:17" ht="15.75" customHeight="1">
      <c r="A30" s="23">
        <v>20</v>
      </c>
      <c r="B30" s="43">
        <f t="shared" si="1"/>
        <v>0</v>
      </c>
      <c r="C30" s="65">
        <f t="shared" si="3"/>
        <v>0</v>
      </c>
      <c r="D30" s="65">
        <f t="shared" si="4"/>
        <v>0</v>
      </c>
      <c r="E30" s="68">
        <f t="shared" si="5"/>
        <v>0</v>
      </c>
      <c r="G30" s="4201"/>
      <c r="H30" s="40" t="s">
        <v>24</v>
      </c>
      <c r="I30" s="43">
        <f>IF($B$8=12,B30,IF($B$8=4,0,IF($B$8=6,0,IF($B$8=3,0,0))))</f>
        <v>0</v>
      </c>
      <c r="J30" s="43">
        <f>IF($B$8=12,C30,IF($B$8=4,0,IF($B$8=6,0,IF($B$8=3,0,0))))</f>
        <v>0</v>
      </c>
      <c r="K30" s="44">
        <f>IF($B$8=12,D30,IF($B$8=4,0,IF($B$8=6,0,IF($B$8=3,0,0))))</f>
        <v>0</v>
      </c>
      <c r="M30" s="4201"/>
      <c r="N30" s="81" t="s">
        <v>24</v>
      </c>
      <c r="O30" s="43">
        <f t="shared" si="8"/>
        <v>0</v>
      </c>
      <c r="P30" s="43">
        <f t="shared" si="7"/>
        <v>0</v>
      </c>
      <c r="Q30" s="44">
        <f t="shared" si="7"/>
        <v>0</v>
      </c>
    </row>
    <row r="31" spans="1:17" ht="15.75" customHeight="1">
      <c r="A31" s="23">
        <v>21</v>
      </c>
      <c r="B31" s="43">
        <f t="shared" si="1"/>
        <v>0</v>
      </c>
      <c r="C31" s="65">
        <f t="shared" si="3"/>
        <v>0</v>
      </c>
      <c r="D31" s="65">
        <f t="shared" si="4"/>
        <v>0</v>
      </c>
      <c r="E31" s="68">
        <f t="shared" si="5"/>
        <v>0</v>
      </c>
      <c r="G31" s="4201"/>
      <c r="H31" s="40" t="s">
        <v>25</v>
      </c>
      <c r="I31" s="43">
        <f>IF($B$8=12,B31,IF($B$8=4,0,IF($B$8=6,B21,IF($B$8=3,B16,0))))</f>
        <v>0</v>
      </c>
      <c r="J31" s="43">
        <f>IF($B$8=12,C31,IF($B$8=4,0,IF($B$8=6,C21,IF($B$8=3,C16,0))))</f>
        <v>0</v>
      </c>
      <c r="K31" s="44">
        <f>IF($B$8=12,D31,IF($B$8=4,0,IF($B$8=6,D21,IF($B$8=3,D16,0))))</f>
        <v>0</v>
      </c>
      <c r="M31" s="4201"/>
      <c r="N31" s="81" t="s">
        <v>25</v>
      </c>
      <c r="O31" s="43">
        <f t="shared" si="8"/>
        <v>0</v>
      </c>
      <c r="P31" s="43">
        <f t="shared" si="7"/>
        <v>0</v>
      </c>
      <c r="Q31" s="44">
        <f t="shared" si="7"/>
        <v>0</v>
      </c>
    </row>
    <row r="32" spans="1:17" ht="15.75" customHeight="1">
      <c r="A32" s="23">
        <v>22</v>
      </c>
      <c r="B32" s="43">
        <f t="shared" si="1"/>
        <v>0</v>
      </c>
      <c r="C32" s="65">
        <f t="shared" si="3"/>
        <v>0</v>
      </c>
      <c r="D32" s="65">
        <f t="shared" si="4"/>
        <v>0</v>
      </c>
      <c r="E32" s="68">
        <f t="shared" si="5"/>
        <v>0</v>
      </c>
      <c r="G32" s="4201"/>
      <c r="H32" s="40" t="s">
        <v>26</v>
      </c>
      <c r="I32" s="43">
        <f>IF($B$8=12,B32,IF($B$8=4,B18,IF($B$8=6,0,IF($B$8=3,0,0))))</f>
        <v>0</v>
      </c>
      <c r="J32" s="43">
        <f>IF($B$8=12,C32,IF($B$8=4,C18,IF($B$8=6,0,IF($B$8=3,0,0))))</f>
        <v>0</v>
      </c>
      <c r="K32" s="44">
        <f>IF($B$8=12,D32,IF($B$8=4,D18,IF($B$8=6,0,IF($B$8=3,0,0))))</f>
        <v>0</v>
      </c>
      <c r="M32" s="4201"/>
      <c r="N32" s="81" t="s">
        <v>26</v>
      </c>
      <c r="O32" s="43">
        <f t="shared" si="8"/>
        <v>0</v>
      </c>
      <c r="P32" s="43">
        <f t="shared" si="7"/>
        <v>0</v>
      </c>
      <c r="Q32" s="44">
        <f t="shared" si="7"/>
        <v>0</v>
      </c>
    </row>
    <row r="33" spans="1:17" ht="15.75" customHeight="1">
      <c r="A33" s="23">
        <v>23</v>
      </c>
      <c r="B33" s="43">
        <f t="shared" si="1"/>
        <v>0</v>
      </c>
      <c r="C33" s="65">
        <f t="shared" si="3"/>
        <v>0</v>
      </c>
      <c r="D33" s="65">
        <f t="shared" si="4"/>
        <v>0</v>
      </c>
      <c r="E33" s="68">
        <f t="shared" si="5"/>
        <v>0</v>
      </c>
      <c r="G33" s="4201"/>
      <c r="H33" s="40" t="s">
        <v>27</v>
      </c>
      <c r="I33" s="43">
        <f>IF($B$8=12,B33,IF($B$8=4,0,IF($B$8=6,B22,IF($B$8=3,0,0))))</f>
        <v>0</v>
      </c>
      <c r="J33" s="43">
        <f>IF($B$8=12,C33,IF($B$8=4,0,IF($B$8=6,C22,IF($B$8=3,0,0))))</f>
        <v>0</v>
      </c>
      <c r="K33" s="44">
        <f>IF($B$8=12,D33,IF($B$8=4,0,IF($B$8=6,D22,IF($B$8=3,0,0))))</f>
        <v>0</v>
      </c>
      <c r="M33" s="4201"/>
      <c r="N33" s="81" t="s">
        <v>27</v>
      </c>
      <c r="O33" s="43">
        <f t="shared" si="8"/>
        <v>0</v>
      </c>
      <c r="P33" s="43">
        <f t="shared" si="7"/>
        <v>0</v>
      </c>
      <c r="Q33" s="44">
        <f t="shared" si="7"/>
        <v>0</v>
      </c>
    </row>
    <row r="34" spans="1:17" ht="15.75" customHeight="1" thickBot="1">
      <c r="A34" s="24">
        <v>24</v>
      </c>
      <c r="B34" s="70">
        <f t="shared" si="1"/>
        <v>0</v>
      </c>
      <c r="C34" s="71">
        <f t="shared" si="3"/>
        <v>0</v>
      </c>
      <c r="D34" s="71">
        <f t="shared" si="4"/>
        <v>0</v>
      </c>
      <c r="E34" s="68">
        <f t="shared" si="5"/>
        <v>0</v>
      </c>
      <c r="F34" s="243">
        <f>SUM(D23:D34)</f>
        <v>0</v>
      </c>
      <c r="G34" s="4202"/>
      <c r="H34" s="73" t="s">
        <v>28</v>
      </c>
      <c r="I34" s="70">
        <f>IF($B$8=12,B34,IF($B$8=4,0,IF($B$8=6,0,IF($B$8=3,0,0))))</f>
        <v>0</v>
      </c>
      <c r="J34" s="70">
        <f>IF($B$8=12,C34,IF($B$8=4,0,IF($B$8=6,0,IF($B$8=3,0,0))))</f>
        <v>0</v>
      </c>
      <c r="K34" s="75">
        <f>IF($B$8=12,D34,IF($B$8=4,0,IF($B$8=6,0,IF($B$8=3,0,0))))</f>
        <v>0</v>
      </c>
      <c r="M34" s="4202"/>
      <c r="N34" s="86" t="s">
        <v>28</v>
      </c>
      <c r="O34" s="43">
        <f t="shared" si="8"/>
        <v>0</v>
      </c>
      <c r="P34" s="43">
        <f t="shared" si="7"/>
        <v>0</v>
      </c>
      <c r="Q34" s="46">
        <f t="shared" si="7"/>
        <v>0</v>
      </c>
    </row>
    <row r="35" spans="1:17" ht="15.75" customHeight="1">
      <c r="A35" s="23">
        <v>25</v>
      </c>
      <c r="B35" s="43">
        <f t="shared" si="1"/>
        <v>0</v>
      </c>
      <c r="C35" s="65">
        <f t="shared" si="3"/>
        <v>0</v>
      </c>
      <c r="D35" s="65">
        <f t="shared" si="4"/>
        <v>0</v>
      </c>
      <c r="E35" s="109">
        <f t="shared" si="5"/>
        <v>0</v>
      </c>
      <c r="G35" s="4200">
        <f>G23+1</f>
        <v>2</v>
      </c>
      <c r="H35" s="40" t="s">
        <v>17</v>
      </c>
      <c r="I35" s="43">
        <f>IF($B$8=12,B35,IF($B$8=4,B19,IF($B$8=6,B23,IF($B$8=3,B17,IF($B$8=2,B15,IF($B$8=1,B13,0))))))</f>
        <v>0</v>
      </c>
      <c r="J35" s="43">
        <f>IF($B$8=12,C35,IF($B$8=4,C19,IF($B$8=6,C23,IF($B$8=3,C17,IF($B$8=2,C15,IF($B$8=1,C13,0))))))</f>
        <v>0</v>
      </c>
      <c r="K35" s="44">
        <f>IF($B$8=12,D35,IF($B$8=4,D19,IF($B$8=6,D23,IF($B$8=3,D17,IF($B$8=2,D15,IF($B$8=1,D13,0))))))</f>
        <v>0</v>
      </c>
      <c r="M35" s="4200">
        <f>'1.Datos Básicos. Product-Serv'!$B$7+2</f>
        <v>2</v>
      </c>
      <c r="N35" s="81" t="s">
        <v>17</v>
      </c>
      <c r="O35" s="76">
        <f>IF($I$6=3,I11,IF($I$6=2,I23,IF($I$6=1,I35,0)))</f>
        <v>0</v>
      </c>
      <c r="P35" s="76">
        <f t="shared" ref="P35:Q46" si="9">IF($I$6=3,J11,IF($I$6=2,J23,IF($I$6=1,J35,0)))</f>
        <v>0</v>
      </c>
      <c r="Q35" s="77">
        <f t="shared" si="9"/>
        <v>0</v>
      </c>
    </row>
    <row r="36" spans="1:17" ht="15.75" customHeight="1">
      <c r="A36" s="23">
        <v>26</v>
      </c>
      <c r="B36" s="43">
        <f t="shared" si="1"/>
        <v>0</v>
      </c>
      <c r="C36" s="65">
        <f t="shared" si="3"/>
        <v>0</v>
      </c>
      <c r="D36" s="65">
        <f t="shared" si="4"/>
        <v>0</v>
      </c>
      <c r="E36" s="68">
        <f t="shared" si="5"/>
        <v>0</v>
      </c>
      <c r="G36" s="4201"/>
      <c r="H36" s="40" t="s">
        <v>18</v>
      </c>
      <c r="I36" s="43">
        <f>IF($B$8=12,B36,0)</f>
        <v>0</v>
      </c>
      <c r="J36" s="43">
        <f>IF($B$8=12,C36,0)</f>
        <v>0</v>
      </c>
      <c r="K36" s="44">
        <f>IF($B$8=12,D36,0)</f>
        <v>0</v>
      </c>
      <c r="M36" s="4201"/>
      <c r="N36" s="81" t="s">
        <v>18</v>
      </c>
      <c r="O36" s="43">
        <f t="shared" ref="O36:O46" si="10">IF($I$6=3,I12,IF($I$6=2,I24,IF($I$6=1,I36,0)))</f>
        <v>0</v>
      </c>
      <c r="P36" s="43">
        <f t="shared" si="9"/>
        <v>0</v>
      </c>
      <c r="Q36" s="44">
        <f t="shared" si="9"/>
        <v>0</v>
      </c>
    </row>
    <row r="37" spans="1:17" ht="15.75" customHeight="1">
      <c r="A37" s="23">
        <v>27</v>
      </c>
      <c r="B37" s="43">
        <f t="shared" si="1"/>
        <v>0</v>
      </c>
      <c r="C37" s="65">
        <f t="shared" si="3"/>
        <v>0</v>
      </c>
      <c r="D37" s="65">
        <f t="shared" si="4"/>
        <v>0</v>
      </c>
      <c r="E37" s="68">
        <f t="shared" si="5"/>
        <v>0</v>
      </c>
      <c r="G37" s="4201"/>
      <c r="H37" s="40" t="s">
        <v>19</v>
      </c>
      <c r="I37" s="43">
        <f>IF($B$8=12,B37,IF($B$8=6,B24,0))</f>
        <v>0</v>
      </c>
      <c r="J37" s="43">
        <f>IF($B$8=12,C37,IF($B$8=6,C24,0))</f>
        <v>0</v>
      </c>
      <c r="K37" s="44">
        <f>IF($B$8=12,D37,IF($B$8=6,D24,0))</f>
        <v>0</v>
      </c>
      <c r="M37" s="4201"/>
      <c r="N37" s="81" t="s">
        <v>19</v>
      </c>
      <c r="O37" s="43">
        <f t="shared" si="10"/>
        <v>0</v>
      </c>
      <c r="P37" s="43">
        <f t="shared" si="9"/>
        <v>0</v>
      </c>
      <c r="Q37" s="44">
        <f t="shared" si="9"/>
        <v>0</v>
      </c>
    </row>
    <row r="38" spans="1:17" ht="15.75" customHeight="1">
      <c r="A38" s="23">
        <v>28</v>
      </c>
      <c r="B38" s="43">
        <f t="shared" si="1"/>
        <v>0</v>
      </c>
      <c r="C38" s="65">
        <f t="shared" si="3"/>
        <v>0</v>
      </c>
      <c r="D38" s="65">
        <f t="shared" si="4"/>
        <v>0</v>
      </c>
      <c r="E38" s="68">
        <f t="shared" si="5"/>
        <v>0</v>
      </c>
      <c r="G38" s="4201"/>
      <c r="H38" s="40" t="s">
        <v>20</v>
      </c>
      <c r="I38" s="43">
        <f>IF($B$8=12,B38,IF($B$8=4,B20,IF($B$8=6,0,IF($B$8=3,0,0))))</f>
        <v>0</v>
      </c>
      <c r="J38" s="43">
        <f>IF($B$8=12,C38,IF($B$8=4,C20,IF($B$8=6,0,IF($B$8=3,0,0))))</f>
        <v>0</v>
      </c>
      <c r="K38" s="44">
        <f>IF($B$8=12,D38,IF($B$8=4,D20,IF($B$8=6,0,IF($B$8=3,0,0))))</f>
        <v>0</v>
      </c>
      <c r="M38" s="4201"/>
      <c r="N38" s="81" t="s">
        <v>20</v>
      </c>
      <c r="O38" s="43">
        <f t="shared" si="10"/>
        <v>0</v>
      </c>
      <c r="P38" s="43">
        <f t="shared" si="9"/>
        <v>0</v>
      </c>
      <c r="Q38" s="44">
        <f t="shared" si="9"/>
        <v>0</v>
      </c>
    </row>
    <row r="39" spans="1:17" ht="15.75" customHeight="1">
      <c r="A39" s="23">
        <v>29</v>
      </c>
      <c r="B39" s="43">
        <f t="shared" si="1"/>
        <v>0</v>
      </c>
      <c r="C39" s="65">
        <f t="shared" si="3"/>
        <v>0</v>
      </c>
      <c r="D39" s="65">
        <f t="shared" si="4"/>
        <v>0</v>
      </c>
      <c r="E39" s="68">
        <f t="shared" si="5"/>
        <v>0</v>
      </c>
      <c r="G39" s="4201"/>
      <c r="H39" s="40" t="s">
        <v>21</v>
      </c>
      <c r="I39" s="43">
        <f>IF($B$8=12,B39,IF($B$8=4,0,IF($B$8=6,B25,IF($B$8=3,B18,0))))</f>
        <v>0</v>
      </c>
      <c r="J39" s="43">
        <f>IF($B$8=12,C39,IF($B$8=4,0,IF($B$8=6,C25,IF($B$8=3,C18,0))))</f>
        <v>0</v>
      </c>
      <c r="K39" s="44">
        <f>IF($B$8=12,D39,IF($B$8=4,0,IF($B$8=6,D25,IF($B$8=3,D18,0))))</f>
        <v>0</v>
      </c>
      <c r="M39" s="4201"/>
      <c r="N39" s="81" t="s">
        <v>21</v>
      </c>
      <c r="O39" s="43">
        <f t="shared" si="10"/>
        <v>0</v>
      </c>
      <c r="P39" s="43">
        <f t="shared" si="9"/>
        <v>0</v>
      </c>
      <c r="Q39" s="44">
        <f t="shared" si="9"/>
        <v>0</v>
      </c>
    </row>
    <row r="40" spans="1:17" ht="15.75" customHeight="1">
      <c r="A40" s="23">
        <v>30</v>
      </c>
      <c r="B40" s="43">
        <f t="shared" si="1"/>
        <v>0</v>
      </c>
      <c r="C40" s="65">
        <f t="shared" si="3"/>
        <v>0</v>
      </c>
      <c r="D40" s="65">
        <f t="shared" si="4"/>
        <v>0</v>
      </c>
      <c r="E40" s="68">
        <f t="shared" si="5"/>
        <v>0</v>
      </c>
      <c r="G40" s="4201"/>
      <c r="H40" s="40" t="s">
        <v>22</v>
      </c>
      <c r="I40" s="43">
        <f>IF($B$8=12,B40,IF($B$8=4,0,IF($B$8=6,0,IF($B$8=3,0,0))))</f>
        <v>0</v>
      </c>
      <c r="J40" s="43">
        <f>IF($B$8=12,C40,IF($B$8=4,0,IF($B$8=6,0,IF($B$8=3,0,0))))</f>
        <v>0</v>
      </c>
      <c r="K40" s="44">
        <f>IF($B$8=12,D40,IF($B$8=4,0,IF($B$8=6,0,IF($B$8=3,0,0))))</f>
        <v>0</v>
      </c>
      <c r="M40" s="4201"/>
      <c r="N40" s="81" t="s">
        <v>22</v>
      </c>
      <c r="O40" s="43">
        <f t="shared" si="10"/>
        <v>0</v>
      </c>
      <c r="P40" s="43">
        <f t="shared" si="9"/>
        <v>0</v>
      </c>
      <c r="Q40" s="44">
        <f t="shared" si="9"/>
        <v>0</v>
      </c>
    </row>
    <row r="41" spans="1:17" ht="15.75" customHeight="1">
      <c r="A41" s="23">
        <v>31</v>
      </c>
      <c r="B41" s="43">
        <f t="shared" si="1"/>
        <v>0</v>
      </c>
      <c r="C41" s="65">
        <f t="shared" si="3"/>
        <v>0</v>
      </c>
      <c r="D41" s="65">
        <f t="shared" si="4"/>
        <v>0</v>
      </c>
      <c r="E41" s="68">
        <f t="shared" si="5"/>
        <v>0</v>
      </c>
      <c r="G41" s="4201"/>
      <c r="H41" s="40" t="s">
        <v>23</v>
      </c>
      <c r="I41" s="43">
        <f>IF($B$8=12,B41,IF($B$8=4,B21,IF($B$8=6,B26,IF($B$8=3,0,IF($B$8=2,B16,0)))))</f>
        <v>0</v>
      </c>
      <c r="J41" s="43">
        <f>IF($B$8=12,C41,IF($B$8=4,C21,IF($B$8=6,C26,IF($B$8=3,0,IF($B$8=2,C16,0)))))</f>
        <v>0</v>
      </c>
      <c r="K41" s="44">
        <f>IF($B$8=12,D41,IF($B$8=4,D21,IF($B$8=6,D26,IF($B$8=3,0,IF($B$8=2,D16,0)))))</f>
        <v>0</v>
      </c>
      <c r="M41" s="4201"/>
      <c r="N41" s="81" t="s">
        <v>23</v>
      </c>
      <c r="O41" s="43">
        <f t="shared" si="10"/>
        <v>0</v>
      </c>
      <c r="P41" s="43">
        <f t="shared" si="9"/>
        <v>0</v>
      </c>
      <c r="Q41" s="44">
        <f t="shared" si="9"/>
        <v>0</v>
      </c>
    </row>
    <row r="42" spans="1:17" ht="15.75" customHeight="1">
      <c r="A42" s="23">
        <v>32</v>
      </c>
      <c r="B42" s="43">
        <f t="shared" si="1"/>
        <v>0</v>
      </c>
      <c r="C42" s="65">
        <f t="shared" si="3"/>
        <v>0</v>
      </c>
      <c r="D42" s="65">
        <f t="shared" si="4"/>
        <v>0</v>
      </c>
      <c r="E42" s="68">
        <f t="shared" si="5"/>
        <v>0</v>
      </c>
      <c r="G42" s="4201"/>
      <c r="H42" s="40" t="s">
        <v>24</v>
      </c>
      <c r="I42" s="43">
        <f>IF($B$8=12,B42,IF($B$8=4,0,IF($B$8=6,0,IF($B$8=3,0,0))))</f>
        <v>0</v>
      </c>
      <c r="J42" s="43">
        <f>IF($B$8=12,C42,IF($B$8=4,0,IF($B$8=6,0,IF($B$8=3,0,0))))</f>
        <v>0</v>
      </c>
      <c r="K42" s="44">
        <f>IF($B$8=12,D42,IF($B$8=4,0,IF($B$8=6,0,IF($B$8=3,0,0))))</f>
        <v>0</v>
      </c>
      <c r="M42" s="4201"/>
      <c r="N42" s="81" t="s">
        <v>24</v>
      </c>
      <c r="O42" s="43">
        <f t="shared" si="10"/>
        <v>0</v>
      </c>
      <c r="P42" s="43">
        <f t="shared" si="9"/>
        <v>0</v>
      </c>
      <c r="Q42" s="44">
        <f t="shared" si="9"/>
        <v>0</v>
      </c>
    </row>
    <row r="43" spans="1:17" ht="15.75" customHeight="1">
      <c r="A43" s="23">
        <v>33</v>
      </c>
      <c r="B43" s="43">
        <f t="shared" si="1"/>
        <v>0</v>
      </c>
      <c r="C43" s="65">
        <f t="shared" si="3"/>
        <v>0</v>
      </c>
      <c r="D43" s="65">
        <f t="shared" si="4"/>
        <v>0</v>
      </c>
      <c r="E43" s="68">
        <f t="shared" si="5"/>
        <v>0</v>
      </c>
      <c r="G43" s="4201"/>
      <c r="H43" s="40" t="s">
        <v>25</v>
      </c>
      <c r="I43" s="43">
        <f>IF($B$8=12,B43,IF($B$8=4,0,IF($B$8=6,B27,IF($B$8=3,B19,0))))</f>
        <v>0</v>
      </c>
      <c r="J43" s="43">
        <f>IF($B$8=12,C43,IF($B$8=4,0,IF($B$8=6,C27,IF($B$8=3,C19,0))))</f>
        <v>0</v>
      </c>
      <c r="K43" s="44">
        <f>IF($B$8=12,D43,IF($B$8=4,0,IF($B$8=6,D27,IF($B$8=3,D19,0))))</f>
        <v>0</v>
      </c>
      <c r="M43" s="4201"/>
      <c r="N43" s="81" t="s">
        <v>25</v>
      </c>
      <c r="O43" s="43">
        <f t="shared" si="10"/>
        <v>0</v>
      </c>
      <c r="P43" s="43">
        <f t="shared" si="9"/>
        <v>0</v>
      </c>
      <c r="Q43" s="44">
        <f t="shared" si="9"/>
        <v>0</v>
      </c>
    </row>
    <row r="44" spans="1:17" ht="15.75" customHeight="1">
      <c r="A44" s="23">
        <v>34</v>
      </c>
      <c r="B44" s="43">
        <f t="shared" si="1"/>
        <v>0</v>
      </c>
      <c r="C44" s="65">
        <f t="shared" si="3"/>
        <v>0</v>
      </c>
      <c r="D44" s="65">
        <f t="shared" si="4"/>
        <v>0</v>
      </c>
      <c r="E44" s="68">
        <f t="shared" si="5"/>
        <v>0</v>
      </c>
      <c r="G44" s="4201"/>
      <c r="H44" s="40" t="s">
        <v>26</v>
      </c>
      <c r="I44" s="43">
        <f>IF($B$8=12,B44,IF($B$8=4,B22,IF($B$8=6,0,IF($B$8=3,0,0))))</f>
        <v>0</v>
      </c>
      <c r="J44" s="43">
        <f>IF($B$8=12,C44,IF($B$8=4,C22,IF($B$8=6,0,IF($B$8=3,0,0))))</f>
        <v>0</v>
      </c>
      <c r="K44" s="44">
        <f>IF($B$8=12,D44,IF($B$8=4,D22,IF($B$8=6,0,IF($B$8=3,0,0))))</f>
        <v>0</v>
      </c>
      <c r="M44" s="4201"/>
      <c r="N44" s="81" t="s">
        <v>26</v>
      </c>
      <c r="O44" s="43">
        <f t="shared" si="10"/>
        <v>0</v>
      </c>
      <c r="P44" s="43">
        <f t="shared" si="9"/>
        <v>0</v>
      </c>
      <c r="Q44" s="44">
        <f t="shared" si="9"/>
        <v>0</v>
      </c>
    </row>
    <row r="45" spans="1:17" ht="15.75" customHeight="1">
      <c r="A45" s="23">
        <v>35</v>
      </c>
      <c r="B45" s="43">
        <f t="shared" si="1"/>
        <v>0</v>
      </c>
      <c r="C45" s="65">
        <f t="shared" si="3"/>
        <v>0</v>
      </c>
      <c r="D45" s="65">
        <f t="shared" si="4"/>
        <v>0</v>
      </c>
      <c r="E45" s="68">
        <f t="shared" si="5"/>
        <v>0</v>
      </c>
      <c r="G45" s="4201"/>
      <c r="H45" s="40" t="s">
        <v>27</v>
      </c>
      <c r="I45" s="43">
        <f>IF($B$8=12,B45,IF($B$8=4,0,IF($B$8=6,B28,IF($B$8=3,0,0))))</f>
        <v>0</v>
      </c>
      <c r="J45" s="43">
        <f>IF($B$8=12,C45,IF($B$8=4,0,IF($B$8=6,C28,IF($B$8=3,0,0))))</f>
        <v>0</v>
      </c>
      <c r="K45" s="44">
        <f>IF($B$8=12,D45,IF($B$8=4,0,IF($B$8=6,D28,IF($B$8=3,0,0))))</f>
        <v>0</v>
      </c>
      <c r="M45" s="4201"/>
      <c r="N45" s="81" t="s">
        <v>27</v>
      </c>
      <c r="O45" s="43">
        <f t="shared" si="10"/>
        <v>0</v>
      </c>
      <c r="P45" s="43">
        <f t="shared" si="9"/>
        <v>0</v>
      </c>
      <c r="Q45" s="44">
        <f t="shared" si="9"/>
        <v>0</v>
      </c>
    </row>
    <row r="46" spans="1:17" ht="15.75" customHeight="1" thickBot="1">
      <c r="A46" s="24">
        <v>36</v>
      </c>
      <c r="B46" s="70">
        <f t="shared" si="1"/>
        <v>0</v>
      </c>
      <c r="C46" s="71">
        <f t="shared" si="3"/>
        <v>0</v>
      </c>
      <c r="D46" s="71">
        <f t="shared" si="4"/>
        <v>0</v>
      </c>
      <c r="E46" s="68">
        <f t="shared" si="5"/>
        <v>0</v>
      </c>
      <c r="F46" s="243">
        <f>SUM(D35:D46)</f>
        <v>0</v>
      </c>
      <c r="G46" s="4202"/>
      <c r="H46" s="73" t="s">
        <v>28</v>
      </c>
      <c r="I46" s="70">
        <f>IF($B$8=12,B46,IF($B$8=4,0,IF($B$8=6,0,IF($B$8=3,0,0))))</f>
        <v>0</v>
      </c>
      <c r="J46" s="70">
        <f>IF($B$8=12,C46,IF($B$8=4,0,IF($B$8=6,0,IF($B$8=3,0,0))))</f>
        <v>0</v>
      </c>
      <c r="K46" s="75">
        <f>IF($B$8=12,D46,IF($B$8=4,0,IF($B$8=6,0,IF($B$8=3,0,0))))</f>
        <v>0</v>
      </c>
      <c r="M46" s="4202"/>
      <c r="N46" s="86" t="s">
        <v>28</v>
      </c>
      <c r="O46" s="45">
        <f t="shared" si="10"/>
        <v>0</v>
      </c>
      <c r="P46" s="45">
        <f t="shared" si="9"/>
        <v>0</v>
      </c>
      <c r="Q46" s="46">
        <f t="shared" si="9"/>
        <v>0</v>
      </c>
    </row>
    <row r="47" spans="1:17" ht="15.75" customHeight="1">
      <c r="A47" s="23">
        <v>37</v>
      </c>
      <c r="B47" s="43">
        <f t="shared" si="1"/>
        <v>0</v>
      </c>
      <c r="C47" s="65">
        <f t="shared" si="3"/>
        <v>0</v>
      </c>
      <c r="D47" s="65">
        <f t="shared" si="4"/>
        <v>0</v>
      </c>
      <c r="E47" s="109">
        <f t="shared" si="5"/>
        <v>0</v>
      </c>
      <c r="G47" s="4200">
        <f>G35+1</f>
        <v>3</v>
      </c>
      <c r="H47" s="40" t="s">
        <v>17</v>
      </c>
      <c r="I47" s="43">
        <f>IF($B$8=12,B47,IF($B$8=4,B23,IF($B$8=6,B29,IF($B$8=3,B20,IF($B$8=2,B17,IF($B$8=1,B14,0))))))</f>
        <v>0</v>
      </c>
      <c r="J47" s="43">
        <f>IF($B$8=12,C47,IF($B$8=4,C23,IF($B$8=6,C29,IF($B$8=3,C20,IF($B$8=2,C17,IF($B$8=1,C14,0))))))</f>
        <v>0</v>
      </c>
      <c r="K47" s="44">
        <f>IF($B$8=12,D47,IF($B$8=4,D23,IF($B$8=6,D29,IF($B$8=3,D20,IF($B$8=2,D17,IF($B$8=1,D14,0))))))</f>
        <v>0</v>
      </c>
      <c r="M47" s="4200">
        <f>'1.Datos Básicos. Product-Serv'!$B$7+3</f>
        <v>3</v>
      </c>
      <c r="N47" s="81" t="s">
        <v>17</v>
      </c>
      <c r="O47" s="76">
        <f>IF($I$6=4,I11,IF($I$6=3,I23,IF($I$6=2,I35,IF($I$6=1,I47,0))))</f>
        <v>0</v>
      </c>
      <c r="P47" s="76">
        <f t="shared" ref="P47:Q58" si="11">IF($I$6=4,J11,IF($I$6=3,J23,IF($I$6=2,J35,IF($I$6=1,J47,0))))</f>
        <v>0</v>
      </c>
      <c r="Q47" s="77">
        <f t="shared" si="11"/>
        <v>0</v>
      </c>
    </row>
    <row r="48" spans="1:17" ht="15.75" customHeight="1">
      <c r="A48" s="23">
        <v>38</v>
      </c>
      <c r="B48" s="43">
        <f t="shared" si="1"/>
        <v>0</v>
      </c>
      <c r="C48" s="65">
        <f t="shared" si="3"/>
        <v>0</v>
      </c>
      <c r="D48" s="65">
        <f t="shared" si="4"/>
        <v>0</v>
      </c>
      <c r="E48" s="68">
        <f t="shared" si="5"/>
        <v>0</v>
      </c>
      <c r="G48" s="4201"/>
      <c r="H48" s="40" t="s">
        <v>18</v>
      </c>
      <c r="I48" s="43">
        <f>IF($B$8=12,B48,0)</f>
        <v>0</v>
      </c>
      <c r="J48" s="43">
        <f>IF($B$8=12,C48,0)</f>
        <v>0</v>
      </c>
      <c r="K48" s="44">
        <f>IF($B$8=12,D48,0)</f>
        <v>0</v>
      </c>
      <c r="M48" s="4201"/>
      <c r="N48" s="81" t="s">
        <v>18</v>
      </c>
      <c r="O48" s="43">
        <f t="shared" ref="O48:O58" si="12">IF($I$6=4,I12,IF($I$6=3,I24,IF($I$6=2,I36,IF($I$6=1,I48,0))))</f>
        <v>0</v>
      </c>
      <c r="P48" s="43">
        <f t="shared" si="11"/>
        <v>0</v>
      </c>
      <c r="Q48" s="44">
        <f t="shared" si="11"/>
        <v>0</v>
      </c>
    </row>
    <row r="49" spans="1:17" ht="15.75" customHeight="1">
      <c r="A49" s="23">
        <v>39</v>
      </c>
      <c r="B49" s="43">
        <f t="shared" si="1"/>
        <v>0</v>
      </c>
      <c r="C49" s="65">
        <f t="shared" si="3"/>
        <v>0</v>
      </c>
      <c r="D49" s="65">
        <f t="shared" si="4"/>
        <v>0</v>
      </c>
      <c r="E49" s="68">
        <f t="shared" si="5"/>
        <v>0</v>
      </c>
      <c r="G49" s="4201"/>
      <c r="H49" s="40" t="s">
        <v>19</v>
      </c>
      <c r="I49" s="43">
        <f>IF($B$8=12,B49,IF($B$8=6,B30,0))</f>
        <v>0</v>
      </c>
      <c r="J49" s="43">
        <f>IF($B$8=12,C49,IF($B$8=6,C30,0))</f>
        <v>0</v>
      </c>
      <c r="K49" s="44">
        <f>IF($B$8=12,D49,IF($B$8=6,D30,0))</f>
        <v>0</v>
      </c>
      <c r="M49" s="4201"/>
      <c r="N49" s="81" t="s">
        <v>19</v>
      </c>
      <c r="O49" s="43">
        <f t="shared" si="12"/>
        <v>0</v>
      </c>
      <c r="P49" s="43">
        <f t="shared" si="11"/>
        <v>0</v>
      </c>
      <c r="Q49" s="44">
        <f t="shared" si="11"/>
        <v>0</v>
      </c>
    </row>
    <row r="50" spans="1:17" ht="15.75" customHeight="1">
      <c r="A50" s="23">
        <v>40</v>
      </c>
      <c r="B50" s="43">
        <f t="shared" si="1"/>
        <v>0</v>
      </c>
      <c r="C50" s="65">
        <f t="shared" si="3"/>
        <v>0</v>
      </c>
      <c r="D50" s="65">
        <f t="shared" si="4"/>
        <v>0</v>
      </c>
      <c r="E50" s="68">
        <f t="shared" si="5"/>
        <v>0</v>
      </c>
      <c r="G50" s="4201"/>
      <c r="H50" s="40" t="s">
        <v>20</v>
      </c>
      <c r="I50" s="43">
        <f>IF($B$8=12,B50,IF($B$8=4,B24,IF($B$8=6,0,IF($B$8=3,0,0))))</f>
        <v>0</v>
      </c>
      <c r="J50" s="43">
        <f>IF($B$8=12,C50,IF($B$8=4,C24,IF($B$8=6,0,IF($B$8=3,0,0))))</f>
        <v>0</v>
      </c>
      <c r="K50" s="44">
        <f>IF($B$8=12,D50,IF($B$8=4,D24,IF($B$8=6,0,IF($B$8=3,0,0))))</f>
        <v>0</v>
      </c>
      <c r="M50" s="4201"/>
      <c r="N50" s="81" t="s">
        <v>20</v>
      </c>
      <c r="O50" s="43">
        <f t="shared" si="12"/>
        <v>0</v>
      </c>
      <c r="P50" s="43">
        <f t="shared" si="11"/>
        <v>0</v>
      </c>
      <c r="Q50" s="44">
        <f t="shared" si="11"/>
        <v>0</v>
      </c>
    </row>
    <row r="51" spans="1:17" ht="15.75" customHeight="1">
      <c r="A51" s="23">
        <v>41</v>
      </c>
      <c r="B51" s="43">
        <f t="shared" si="1"/>
        <v>0</v>
      </c>
      <c r="C51" s="65">
        <f t="shared" si="3"/>
        <v>0</v>
      </c>
      <c r="D51" s="65">
        <f t="shared" si="4"/>
        <v>0</v>
      </c>
      <c r="E51" s="68">
        <f t="shared" si="5"/>
        <v>0</v>
      </c>
      <c r="G51" s="4201"/>
      <c r="H51" s="40" t="s">
        <v>21</v>
      </c>
      <c r="I51" s="43">
        <f>IF($B$8=12,B51,IF($B$8=4,0,IF($B$8=6,B31,IF($B$8=3,B21,0))))</f>
        <v>0</v>
      </c>
      <c r="J51" s="43">
        <f>IF($B$8=12,C51,IF($B$8=4,0,IF($B$8=6,C31,IF($B$8=3,C21,0))))</f>
        <v>0</v>
      </c>
      <c r="K51" s="44">
        <f>IF($B$8=12,D51,IF($B$8=4,0,IF($B$8=6,D31,IF($B$8=3,D21,0))))</f>
        <v>0</v>
      </c>
      <c r="M51" s="4201"/>
      <c r="N51" s="81" t="s">
        <v>21</v>
      </c>
      <c r="O51" s="43">
        <f t="shared" si="12"/>
        <v>0</v>
      </c>
      <c r="P51" s="43">
        <f t="shared" si="11"/>
        <v>0</v>
      </c>
      <c r="Q51" s="44">
        <f t="shared" si="11"/>
        <v>0</v>
      </c>
    </row>
    <row r="52" spans="1:17" ht="15.75" customHeight="1">
      <c r="A52" s="23">
        <v>42</v>
      </c>
      <c r="B52" s="43">
        <f t="shared" si="1"/>
        <v>0</v>
      </c>
      <c r="C52" s="65">
        <f t="shared" si="3"/>
        <v>0</v>
      </c>
      <c r="D52" s="65">
        <f t="shared" si="4"/>
        <v>0</v>
      </c>
      <c r="E52" s="68">
        <f t="shared" si="5"/>
        <v>0</v>
      </c>
      <c r="G52" s="4201"/>
      <c r="H52" s="40" t="s">
        <v>22</v>
      </c>
      <c r="I52" s="43">
        <f>IF($B$8=12,B52,IF($B$8=4,0,IF($B$8=6,0,IF($B$8=3,0,0))))</f>
        <v>0</v>
      </c>
      <c r="J52" s="43">
        <f>IF($B$8=12,C52,IF($B$8=4,0,IF($B$8=6,0,IF($B$8=3,0,0))))</f>
        <v>0</v>
      </c>
      <c r="K52" s="44">
        <f>IF($B$8=12,D52,IF($B$8=4,0,IF($B$8=6,0,IF($B$8=3,0,0))))</f>
        <v>0</v>
      </c>
      <c r="M52" s="4201"/>
      <c r="N52" s="81" t="s">
        <v>22</v>
      </c>
      <c r="O52" s="43">
        <f t="shared" si="12"/>
        <v>0</v>
      </c>
      <c r="P52" s="43">
        <f t="shared" si="11"/>
        <v>0</v>
      </c>
      <c r="Q52" s="44">
        <f t="shared" si="11"/>
        <v>0</v>
      </c>
    </row>
    <row r="53" spans="1:17" ht="15.75" customHeight="1">
      <c r="A53" s="23">
        <v>43</v>
      </c>
      <c r="B53" s="43">
        <f t="shared" si="1"/>
        <v>0</v>
      </c>
      <c r="C53" s="65">
        <f t="shared" si="3"/>
        <v>0</v>
      </c>
      <c r="D53" s="65">
        <f t="shared" si="4"/>
        <v>0</v>
      </c>
      <c r="E53" s="68">
        <f t="shared" si="5"/>
        <v>0</v>
      </c>
      <c r="G53" s="4201"/>
      <c r="H53" s="40" t="s">
        <v>23</v>
      </c>
      <c r="I53" s="43">
        <f>IF($B$8=12,B53,IF($B$8=4,B25,IF($B$8=6,B32,IF($B$8=3,0,IF($B$8=2,B18,0)))))</f>
        <v>0</v>
      </c>
      <c r="J53" s="43">
        <f>IF($B$8=12,C53,IF($B$8=4,C25,IF($B$8=6,C32,IF($B$8=3,0,IF($B$8=2,C18,0)))))</f>
        <v>0</v>
      </c>
      <c r="K53" s="44">
        <f>IF($B$8=12,D53,IF($B$8=4,D25,IF($B$8=6,D32,IF($B$8=3,0,IF($B$8=2,D18,0)))))</f>
        <v>0</v>
      </c>
      <c r="M53" s="4201"/>
      <c r="N53" s="81" t="s">
        <v>23</v>
      </c>
      <c r="O53" s="43">
        <f t="shared" si="12"/>
        <v>0</v>
      </c>
      <c r="P53" s="43">
        <f t="shared" si="11"/>
        <v>0</v>
      </c>
      <c r="Q53" s="44">
        <f t="shared" si="11"/>
        <v>0</v>
      </c>
    </row>
    <row r="54" spans="1:17" ht="15.75" customHeight="1">
      <c r="A54" s="23">
        <v>44</v>
      </c>
      <c r="B54" s="43">
        <f t="shared" si="1"/>
        <v>0</v>
      </c>
      <c r="C54" s="65">
        <f t="shared" si="3"/>
        <v>0</v>
      </c>
      <c r="D54" s="65">
        <f t="shared" si="4"/>
        <v>0</v>
      </c>
      <c r="E54" s="68">
        <f t="shared" si="5"/>
        <v>0</v>
      </c>
      <c r="G54" s="4201"/>
      <c r="H54" s="40" t="s">
        <v>24</v>
      </c>
      <c r="I54" s="43">
        <f>IF($B$8=12,B54,IF($B$8=4,0,IF($B$8=6,0,IF($B$8=3,0,0))))</f>
        <v>0</v>
      </c>
      <c r="J54" s="43">
        <f>IF($B$8=12,C54,IF($B$8=4,0,IF($B$8=6,0,IF($B$8=3,0,0))))</f>
        <v>0</v>
      </c>
      <c r="K54" s="44">
        <f>IF($B$8=12,D54,IF($B$8=4,0,IF($B$8=6,0,IF($B$8=3,0,0))))</f>
        <v>0</v>
      </c>
      <c r="M54" s="4201"/>
      <c r="N54" s="81" t="s">
        <v>24</v>
      </c>
      <c r="O54" s="43">
        <f t="shared" si="12"/>
        <v>0</v>
      </c>
      <c r="P54" s="43">
        <f t="shared" si="11"/>
        <v>0</v>
      </c>
      <c r="Q54" s="44">
        <f t="shared" si="11"/>
        <v>0</v>
      </c>
    </row>
    <row r="55" spans="1:17" ht="15.75" customHeight="1">
      <c r="A55" s="23">
        <v>45</v>
      </c>
      <c r="B55" s="43">
        <f t="shared" si="1"/>
        <v>0</v>
      </c>
      <c r="C55" s="65">
        <f t="shared" si="3"/>
        <v>0</v>
      </c>
      <c r="D55" s="65">
        <f t="shared" si="4"/>
        <v>0</v>
      </c>
      <c r="E55" s="68">
        <f t="shared" si="5"/>
        <v>0</v>
      </c>
      <c r="G55" s="4201"/>
      <c r="H55" s="40" t="s">
        <v>25</v>
      </c>
      <c r="I55" s="43">
        <f>IF($B$8=12,B55,IF($B$8=4,0,IF($B$8=6,B33,IF($B$8=3,B22,0))))</f>
        <v>0</v>
      </c>
      <c r="J55" s="43">
        <f>IF($B$8=12,C55,IF($B$8=4,0,IF($B$8=6,C33,IF($B$8=3,C22,0))))</f>
        <v>0</v>
      </c>
      <c r="K55" s="44">
        <f>IF($B$8=12,D55,IF($B$8=4,0,IF($B$8=6,D33,IF($B$8=3,D22,0))))</f>
        <v>0</v>
      </c>
      <c r="M55" s="4201"/>
      <c r="N55" s="81" t="s">
        <v>25</v>
      </c>
      <c r="O55" s="43">
        <f t="shared" si="12"/>
        <v>0</v>
      </c>
      <c r="P55" s="43">
        <f t="shared" si="11"/>
        <v>0</v>
      </c>
      <c r="Q55" s="44">
        <f t="shared" si="11"/>
        <v>0</v>
      </c>
    </row>
    <row r="56" spans="1:17" ht="15.75" customHeight="1">
      <c r="A56" s="23">
        <v>46</v>
      </c>
      <c r="B56" s="43">
        <f t="shared" si="1"/>
        <v>0</v>
      </c>
      <c r="C56" s="65">
        <f t="shared" si="3"/>
        <v>0</v>
      </c>
      <c r="D56" s="65">
        <f t="shared" si="4"/>
        <v>0</v>
      </c>
      <c r="E56" s="68">
        <f t="shared" si="5"/>
        <v>0</v>
      </c>
      <c r="G56" s="4201"/>
      <c r="H56" s="40" t="s">
        <v>26</v>
      </c>
      <c r="I56" s="43">
        <f>IF($B$8=12,B56,IF($B$8=4,B26,IF($B$8=6,0,IF($B$8=3,0,0))))</f>
        <v>0</v>
      </c>
      <c r="J56" s="43">
        <f>IF($B$8=12,C56,IF($B$8=4,C26,IF($B$8=6,0,IF($B$8=3,0,0))))</f>
        <v>0</v>
      </c>
      <c r="K56" s="44">
        <f>IF($B$8=12,D56,IF($B$8=4,D26,IF($B$8=6,0,IF($B$8=3,0,0))))</f>
        <v>0</v>
      </c>
      <c r="M56" s="4201"/>
      <c r="N56" s="81" t="s">
        <v>26</v>
      </c>
      <c r="O56" s="43">
        <f t="shared" si="12"/>
        <v>0</v>
      </c>
      <c r="P56" s="43">
        <f t="shared" si="11"/>
        <v>0</v>
      </c>
      <c r="Q56" s="44">
        <f t="shared" si="11"/>
        <v>0</v>
      </c>
    </row>
    <row r="57" spans="1:17" ht="15.75" customHeight="1">
      <c r="A57" s="23">
        <v>47</v>
      </c>
      <c r="B57" s="43">
        <f t="shared" si="1"/>
        <v>0</v>
      </c>
      <c r="C57" s="65">
        <f t="shared" si="3"/>
        <v>0</v>
      </c>
      <c r="D57" s="65">
        <f t="shared" si="4"/>
        <v>0</v>
      </c>
      <c r="E57" s="68">
        <f t="shared" si="5"/>
        <v>0</v>
      </c>
      <c r="G57" s="4201"/>
      <c r="H57" s="40" t="s">
        <v>27</v>
      </c>
      <c r="I57" s="43">
        <f>IF($B$8=12,B57,IF($B$8=4,0,IF($B$8=6,B34,IF($B$8=3,0,0))))</f>
        <v>0</v>
      </c>
      <c r="J57" s="43">
        <f>IF($B$8=12,C57,IF($B$8=4,0,IF($B$8=6,C34,IF($B$8=3,0,0))))</f>
        <v>0</v>
      </c>
      <c r="K57" s="44">
        <f>IF($B$8=12,D57,IF($B$8=4,0,IF($B$8=6,D34,IF($B$8=3,0,0))))</f>
        <v>0</v>
      </c>
      <c r="M57" s="4201"/>
      <c r="N57" s="81" t="s">
        <v>27</v>
      </c>
      <c r="O57" s="43">
        <f t="shared" si="12"/>
        <v>0</v>
      </c>
      <c r="P57" s="43">
        <f t="shared" si="11"/>
        <v>0</v>
      </c>
      <c r="Q57" s="44">
        <f t="shared" si="11"/>
        <v>0</v>
      </c>
    </row>
    <row r="58" spans="1:17" ht="15.75" customHeight="1" thickBot="1">
      <c r="A58" s="24">
        <v>48</v>
      </c>
      <c r="B58" s="70">
        <f t="shared" si="1"/>
        <v>0</v>
      </c>
      <c r="C58" s="71">
        <f t="shared" si="3"/>
        <v>0</v>
      </c>
      <c r="D58" s="71">
        <f t="shared" si="4"/>
        <v>0</v>
      </c>
      <c r="E58" s="68">
        <f t="shared" si="5"/>
        <v>0</v>
      </c>
      <c r="F58" s="243">
        <f>SUM(D47:D58)</f>
        <v>0</v>
      </c>
      <c r="G58" s="4202"/>
      <c r="H58" s="73" t="s">
        <v>28</v>
      </c>
      <c r="I58" s="70">
        <f>IF($B$8=12,B58,IF($B$8=4,0,IF($B$8=6,0,IF($B$8=3,0,0))))</f>
        <v>0</v>
      </c>
      <c r="J58" s="70">
        <f>IF($B$8=12,C58,IF($B$8=4,0,IF($B$8=6,0,IF($B$8=3,0,0))))</f>
        <v>0</v>
      </c>
      <c r="K58" s="75">
        <f>IF($B$8=12,D58,IF($B$8=4,0,IF($B$8=6,0,IF($B$8=3,0,0))))</f>
        <v>0</v>
      </c>
      <c r="M58" s="4202"/>
      <c r="N58" s="86" t="s">
        <v>28</v>
      </c>
      <c r="O58" s="45">
        <f t="shared" si="12"/>
        <v>0</v>
      </c>
      <c r="P58" s="45">
        <f t="shared" si="11"/>
        <v>0</v>
      </c>
      <c r="Q58" s="46">
        <f t="shared" si="11"/>
        <v>0</v>
      </c>
    </row>
    <row r="59" spans="1:17" ht="15.75" customHeight="1">
      <c r="A59" s="23">
        <v>49</v>
      </c>
      <c r="B59" s="43">
        <f t="shared" si="1"/>
        <v>0</v>
      </c>
      <c r="C59" s="65">
        <f t="shared" si="3"/>
        <v>0</v>
      </c>
      <c r="D59" s="65">
        <f t="shared" si="4"/>
        <v>0</v>
      </c>
      <c r="E59" s="109">
        <f t="shared" si="5"/>
        <v>0</v>
      </c>
      <c r="G59" s="4200">
        <f>G47+1</f>
        <v>4</v>
      </c>
      <c r="H59" s="40" t="s">
        <v>17</v>
      </c>
      <c r="I59" s="43">
        <f>IF($B$8=12,B59,IF($B$8=4,B27,IF($B$8=6,B35,IF($B$8=3,B23,IF($B$8=2,B19,IF($B$8=1,B15,0))))))</f>
        <v>0</v>
      </c>
      <c r="J59" s="43">
        <f>IF($B$8=12,C59,IF($B$8=4,C27,IF($B$8=6,C35,IF($B$8=3,C23,IF($B$8=2,C19,IF($B$8=1,C15,0))))))</f>
        <v>0</v>
      </c>
      <c r="K59" s="44">
        <f>IF($B$8=12,D59,IF($B$8=4,D27,IF($B$8=6,D35,IF($B$8=3,D23,IF($B$8=2,D19,IF($B$8=1,D15,0))))))</f>
        <v>0</v>
      </c>
      <c r="M59" s="4200">
        <f>'1.Datos Básicos. Product-Serv'!$B$7+4</f>
        <v>4</v>
      </c>
      <c r="N59" s="81" t="s">
        <v>17</v>
      </c>
      <c r="O59" s="76">
        <f>IF($I$6=5,I11,IF($I$6=4,I23,IF($I$6=3,I35,IF($I$6=2,I47,IF($I$6=1,I59,0)))))</f>
        <v>0</v>
      </c>
      <c r="P59" s="76">
        <f t="shared" ref="P59:Q70" si="13">IF($I$6=5,J11,IF($I$6=4,J23,IF($I$6=3,J35,IF($I$6=2,J47,IF($I$6=1,J59,0)))))</f>
        <v>0</v>
      </c>
      <c r="Q59" s="77">
        <f t="shared" si="13"/>
        <v>0</v>
      </c>
    </row>
    <row r="60" spans="1:17" ht="15.75" customHeight="1">
      <c r="A60" s="23">
        <v>50</v>
      </c>
      <c r="B60" s="43">
        <f t="shared" si="1"/>
        <v>0</v>
      </c>
      <c r="C60" s="65">
        <f t="shared" si="3"/>
        <v>0</v>
      </c>
      <c r="D60" s="65">
        <f t="shared" si="4"/>
        <v>0</v>
      </c>
      <c r="E60" s="68">
        <f t="shared" si="5"/>
        <v>0</v>
      </c>
      <c r="G60" s="4201"/>
      <c r="H60" s="40" t="s">
        <v>18</v>
      </c>
      <c r="I60" s="43">
        <f>IF($B$8=12,B60,0)</f>
        <v>0</v>
      </c>
      <c r="J60" s="43">
        <f>IF($B$8=12,C60,0)</f>
        <v>0</v>
      </c>
      <c r="K60" s="44">
        <f>IF($B$8=12,D60,0)</f>
        <v>0</v>
      </c>
      <c r="M60" s="4201"/>
      <c r="N60" s="81" t="s">
        <v>18</v>
      </c>
      <c r="O60" s="43">
        <f t="shared" ref="O60:O70" si="14">IF($I$6=5,I12,IF($I$6=4,I24,IF($I$6=3,I36,IF($I$6=2,I48,IF($I$6=1,I60,0)))))</f>
        <v>0</v>
      </c>
      <c r="P60" s="43">
        <f t="shared" si="13"/>
        <v>0</v>
      </c>
      <c r="Q60" s="44">
        <f t="shared" si="13"/>
        <v>0</v>
      </c>
    </row>
    <row r="61" spans="1:17" ht="15.75" customHeight="1">
      <c r="A61" s="23">
        <v>51</v>
      </c>
      <c r="B61" s="43">
        <f t="shared" si="1"/>
        <v>0</v>
      </c>
      <c r="C61" s="65">
        <f t="shared" si="3"/>
        <v>0</v>
      </c>
      <c r="D61" s="65">
        <f t="shared" si="4"/>
        <v>0</v>
      </c>
      <c r="E61" s="68">
        <f t="shared" si="5"/>
        <v>0</v>
      </c>
      <c r="G61" s="4201"/>
      <c r="H61" s="40" t="s">
        <v>19</v>
      </c>
      <c r="I61" s="43">
        <f>IF($B$8=12,B61,IF($B$8=6,B36,0))</f>
        <v>0</v>
      </c>
      <c r="J61" s="43">
        <f>IF($B$8=12,C61,IF($B$8=6,C36,0))</f>
        <v>0</v>
      </c>
      <c r="K61" s="44">
        <f>IF($B$8=12,D61,IF($B$8=6,D36,0))</f>
        <v>0</v>
      </c>
      <c r="M61" s="4201"/>
      <c r="N61" s="81" t="s">
        <v>19</v>
      </c>
      <c r="O61" s="43">
        <f t="shared" si="14"/>
        <v>0</v>
      </c>
      <c r="P61" s="43">
        <f t="shared" si="13"/>
        <v>0</v>
      </c>
      <c r="Q61" s="44">
        <f t="shared" si="13"/>
        <v>0</v>
      </c>
    </row>
    <row r="62" spans="1:17" ht="15.75" customHeight="1">
      <c r="A62" s="23">
        <v>52</v>
      </c>
      <c r="B62" s="43">
        <f t="shared" si="1"/>
        <v>0</v>
      </c>
      <c r="C62" s="65">
        <f t="shared" si="3"/>
        <v>0</v>
      </c>
      <c r="D62" s="65">
        <f t="shared" si="4"/>
        <v>0</v>
      </c>
      <c r="E62" s="68">
        <f t="shared" si="5"/>
        <v>0</v>
      </c>
      <c r="G62" s="4201"/>
      <c r="H62" s="40" t="s">
        <v>20</v>
      </c>
      <c r="I62" s="43">
        <f>IF($B$8=12,B62,IF($B$8=4,B28,IF($B$8=6,0,IF($B$8=3,0,0))))</f>
        <v>0</v>
      </c>
      <c r="J62" s="43">
        <f>IF($B$8=12,C62,IF($B$8=4,C28,IF($B$8=6,0,IF($B$8=3,0,0))))</f>
        <v>0</v>
      </c>
      <c r="K62" s="44">
        <f>IF($B$8=12,D62,IF($B$8=4,D28,IF($B$8=6,0,IF($B$8=3,0,0))))</f>
        <v>0</v>
      </c>
      <c r="M62" s="4201"/>
      <c r="N62" s="81" t="s">
        <v>20</v>
      </c>
      <c r="O62" s="43">
        <f t="shared" si="14"/>
        <v>0</v>
      </c>
      <c r="P62" s="43">
        <f t="shared" si="13"/>
        <v>0</v>
      </c>
      <c r="Q62" s="44">
        <f t="shared" si="13"/>
        <v>0</v>
      </c>
    </row>
    <row r="63" spans="1:17" ht="15.75" customHeight="1">
      <c r="A63" s="23">
        <v>53</v>
      </c>
      <c r="B63" s="43">
        <f t="shared" si="1"/>
        <v>0</v>
      </c>
      <c r="C63" s="65">
        <f t="shared" si="3"/>
        <v>0</v>
      </c>
      <c r="D63" s="65">
        <f t="shared" si="4"/>
        <v>0</v>
      </c>
      <c r="E63" s="68">
        <f t="shared" si="5"/>
        <v>0</v>
      </c>
      <c r="G63" s="4201"/>
      <c r="H63" s="40" t="s">
        <v>21</v>
      </c>
      <c r="I63" s="43">
        <f>IF($B$8=12,B63,IF($B$8=4,0,IF($B$8=6,B37,IF($B$8=3,B24,0))))</f>
        <v>0</v>
      </c>
      <c r="J63" s="43">
        <f>IF($B$8=12,C63,IF($B$8=4,0,IF($B$8=6,C37,IF($B$8=3,C24,0))))</f>
        <v>0</v>
      </c>
      <c r="K63" s="44">
        <f>IF($B$8=12,D63,IF($B$8=4,0,IF($B$8=6,D37,IF($B$8=3,D24,0))))</f>
        <v>0</v>
      </c>
      <c r="M63" s="4201"/>
      <c r="N63" s="81" t="s">
        <v>21</v>
      </c>
      <c r="O63" s="43">
        <f t="shared" si="14"/>
        <v>0</v>
      </c>
      <c r="P63" s="43">
        <f t="shared" si="13"/>
        <v>0</v>
      </c>
      <c r="Q63" s="44">
        <f t="shared" si="13"/>
        <v>0</v>
      </c>
    </row>
    <row r="64" spans="1:17" ht="15.75" customHeight="1">
      <c r="A64" s="23">
        <v>54</v>
      </c>
      <c r="B64" s="43">
        <f t="shared" si="1"/>
        <v>0</v>
      </c>
      <c r="C64" s="65">
        <f t="shared" si="3"/>
        <v>0</v>
      </c>
      <c r="D64" s="65">
        <f t="shared" si="4"/>
        <v>0</v>
      </c>
      <c r="E64" s="68">
        <f t="shared" si="5"/>
        <v>0</v>
      </c>
      <c r="G64" s="4201"/>
      <c r="H64" s="40" t="s">
        <v>22</v>
      </c>
      <c r="I64" s="43">
        <f>IF($B$8=12,B64,IF($B$8=4,0,IF($B$8=6,0,IF($B$8=3,0,0))))</f>
        <v>0</v>
      </c>
      <c r="J64" s="43">
        <f>IF($B$8=12,C64,IF($B$8=4,0,IF($B$8=6,0,IF($B$8=3,0,0))))</f>
        <v>0</v>
      </c>
      <c r="K64" s="44">
        <f>IF($B$8=12,D64,IF($B$8=4,0,IF($B$8=6,0,IF($B$8=3,0,0))))</f>
        <v>0</v>
      </c>
      <c r="M64" s="4201"/>
      <c r="N64" s="81" t="s">
        <v>22</v>
      </c>
      <c r="O64" s="43">
        <f t="shared" si="14"/>
        <v>0</v>
      </c>
      <c r="P64" s="43">
        <f t="shared" si="13"/>
        <v>0</v>
      </c>
      <c r="Q64" s="44">
        <f t="shared" si="13"/>
        <v>0</v>
      </c>
    </row>
    <row r="65" spans="1:17" ht="15.75" customHeight="1">
      <c r="A65" s="23">
        <v>55</v>
      </c>
      <c r="B65" s="43">
        <f t="shared" si="1"/>
        <v>0</v>
      </c>
      <c r="C65" s="65">
        <f t="shared" si="3"/>
        <v>0</v>
      </c>
      <c r="D65" s="65">
        <f t="shared" si="4"/>
        <v>0</v>
      </c>
      <c r="E65" s="68">
        <f t="shared" si="5"/>
        <v>0</v>
      </c>
      <c r="G65" s="4201"/>
      <c r="H65" s="40" t="s">
        <v>23</v>
      </c>
      <c r="I65" s="43">
        <f>IF($B$8=12,B65,IF($B$8=4,B29,IF($B$8=6,B38,IF($B$8=3,0,IF($B$8=2,B20,0)))))</f>
        <v>0</v>
      </c>
      <c r="J65" s="43">
        <f>IF($B$8=12,C65,IF($B$8=4,C29,IF($B$8=6,C38,IF($B$8=3,0,IF($B$8=2,C20,0)))))</f>
        <v>0</v>
      </c>
      <c r="K65" s="44">
        <f>IF($B$8=12,D65,IF($B$8=4,D29,IF($B$8=6,D38,IF($B$8=3,0,IF($B$8=2,D20,0)))))</f>
        <v>0</v>
      </c>
      <c r="M65" s="4201"/>
      <c r="N65" s="81" t="s">
        <v>23</v>
      </c>
      <c r="O65" s="43">
        <f t="shared" si="14"/>
        <v>0</v>
      </c>
      <c r="P65" s="43">
        <f t="shared" si="13"/>
        <v>0</v>
      </c>
      <c r="Q65" s="44">
        <f t="shared" si="13"/>
        <v>0</v>
      </c>
    </row>
    <row r="66" spans="1:17" ht="15.75" customHeight="1">
      <c r="A66" s="23">
        <v>56</v>
      </c>
      <c r="B66" s="43">
        <f t="shared" si="1"/>
        <v>0</v>
      </c>
      <c r="C66" s="65">
        <f t="shared" si="3"/>
        <v>0</v>
      </c>
      <c r="D66" s="65">
        <f t="shared" si="4"/>
        <v>0</v>
      </c>
      <c r="E66" s="68">
        <f t="shared" si="5"/>
        <v>0</v>
      </c>
      <c r="G66" s="4201"/>
      <c r="H66" s="40" t="s">
        <v>24</v>
      </c>
      <c r="I66" s="43">
        <f>IF($B$8=12,B66,IF($B$8=4,0,IF($B$8=6,0,IF($B$8=3,0,0))))</f>
        <v>0</v>
      </c>
      <c r="J66" s="43">
        <f>IF($B$8=12,C66,IF($B$8=4,0,IF($B$8=6,0,IF($B$8=3,0,0))))</f>
        <v>0</v>
      </c>
      <c r="K66" s="44">
        <f>IF($B$8=12,D66,IF($B$8=4,0,IF($B$8=6,0,IF($B$8=3,0,0))))</f>
        <v>0</v>
      </c>
      <c r="M66" s="4201"/>
      <c r="N66" s="81" t="s">
        <v>24</v>
      </c>
      <c r="O66" s="43">
        <f t="shared" si="14"/>
        <v>0</v>
      </c>
      <c r="P66" s="43">
        <f t="shared" si="13"/>
        <v>0</v>
      </c>
      <c r="Q66" s="44">
        <f t="shared" si="13"/>
        <v>0</v>
      </c>
    </row>
    <row r="67" spans="1:17" ht="15.75" customHeight="1">
      <c r="A67" s="23">
        <v>57</v>
      </c>
      <c r="B67" s="43">
        <f t="shared" si="1"/>
        <v>0</v>
      </c>
      <c r="C67" s="65">
        <f t="shared" si="3"/>
        <v>0</v>
      </c>
      <c r="D67" s="65">
        <f t="shared" si="4"/>
        <v>0</v>
      </c>
      <c r="E67" s="68">
        <f t="shared" si="5"/>
        <v>0</v>
      </c>
      <c r="G67" s="4201"/>
      <c r="H67" s="40" t="s">
        <v>25</v>
      </c>
      <c r="I67" s="43">
        <f>IF($B$8=12,B67,IF($B$8=4,0,IF($B$8=6,B39,IF($B$8=3,B25,0))))</f>
        <v>0</v>
      </c>
      <c r="J67" s="43">
        <f>IF($B$8=12,C67,IF($B$8=4,0,IF($B$8=6,C39,IF($B$8=3,C25,0))))</f>
        <v>0</v>
      </c>
      <c r="K67" s="44">
        <f>IF($B$8=12,D67,IF($B$8=4,0,IF($B$8=6,D39,IF($B$8=3,D25,0))))</f>
        <v>0</v>
      </c>
      <c r="M67" s="4201"/>
      <c r="N67" s="81" t="s">
        <v>25</v>
      </c>
      <c r="O67" s="43">
        <f t="shared" si="14"/>
        <v>0</v>
      </c>
      <c r="P67" s="43">
        <f t="shared" si="13"/>
        <v>0</v>
      </c>
      <c r="Q67" s="44">
        <f t="shared" si="13"/>
        <v>0</v>
      </c>
    </row>
    <row r="68" spans="1:17" ht="15.75" customHeight="1">
      <c r="A68" s="23">
        <v>58</v>
      </c>
      <c r="B68" s="43">
        <f t="shared" si="1"/>
        <v>0</v>
      </c>
      <c r="C68" s="65">
        <f t="shared" si="3"/>
        <v>0</v>
      </c>
      <c r="D68" s="65">
        <f t="shared" si="4"/>
        <v>0</v>
      </c>
      <c r="E68" s="68">
        <f t="shared" si="5"/>
        <v>0</v>
      </c>
      <c r="G68" s="4201"/>
      <c r="H68" s="40" t="s">
        <v>26</v>
      </c>
      <c r="I68" s="43">
        <f>IF($B$8=12,B68,IF($B$8=4,B30,IF($B$8=6,0,IF($B$8=3,0,0))))</f>
        <v>0</v>
      </c>
      <c r="J68" s="43">
        <f>IF($B$8=12,C68,IF($B$8=4,C30,IF($B$8=6,0,IF($B$8=3,0,0))))</f>
        <v>0</v>
      </c>
      <c r="K68" s="44">
        <f>IF($B$8=12,D68,IF($B$8=4,D30,IF($B$8=6,0,IF($B$8=3,0,0))))</f>
        <v>0</v>
      </c>
      <c r="M68" s="4201"/>
      <c r="N68" s="81" t="s">
        <v>26</v>
      </c>
      <c r="O68" s="43">
        <f t="shared" si="14"/>
        <v>0</v>
      </c>
      <c r="P68" s="43">
        <f t="shared" si="13"/>
        <v>0</v>
      </c>
      <c r="Q68" s="44">
        <f t="shared" si="13"/>
        <v>0</v>
      </c>
    </row>
    <row r="69" spans="1:17" ht="15.75" customHeight="1">
      <c r="A69" s="23">
        <v>59</v>
      </c>
      <c r="B69" s="43">
        <f t="shared" si="1"/>
        <v>0</v>
      </c>
      <c r="C69" s="65">
        <f t="shared" si="3"/>
        <v>0</v>
      </c>
      <c r="D69" s="65">
        <f t="shared" si="4"/>
        <v>0</v>
      </c>
      <c r="E69" s="68">
        <f t="shared" si="5"/>
        <v>0</v>
      </c>
      <c r="G69" s="4201"/>
      <c r="H69" s="40" t="s">
        <v>27</v>
      </c>
      <c r="I69" s="43">
        <f>IF($B$8=12,B69,IF($B$8=4,0,IF($B$8=6,B40,IF($B$8=3,0,0))))</f>
        <v>0</v>
      </c>
      <c r="J69" s="43">
        <f>IF($B$8=12,C69,IF($B$8=4,0,IF($B$8=6,C40,IF($B$8=3,0,0))))</f>
        <v>0</v>
      </c>
      <c r="K69" s="44">
        <f>IF($B$8=12,D69,IF($B$8=4,0,IF($B$8=6,D40,IF($B$8=3,0,0))))</f>
        <v>0</v>
      </c>
      <c r="M69" s="4201"/>
      <c r="N69" s="81" t="s">
        <v>27</v>
      </c>
      <c r="O69" s="43">
        <f t="shared" si="14"/>
        <v>0</v>
      </c>
      <c r="P69" s="43">
        <f t="shared" si="13"/>
        <v>0</v>
      </c>
      <c r="Q69" s="44">
        <f t="shared" si="13"/>
        <v>0</v>
      </c>
    </row>
    <row r="70" spans="1:17" ht="15.75" customHeight="1" thickBot="1">
      <c r="A70" s="26">
        <v>60</v>
      </c>
      <c r="B70" s="48">
        <f t="shared" si="1"/>
        <v>0</v>
      </c>
      <c r="C70" s="78">
        <f t="shared" si="3"/>
        <v>0</v>
      </c>
      <c r="D70" s="78">
        <f t="shared" si="4"/>
        <v>0</v>
      </c>
      <c r="E70" s="49">
        <f t="shared" si="5"/>
        <v>0</v>
      </c>
      <c r="F70" s="243">
        <f>SUM(D59:D70)</f>
        <v>0</v>
      </c>
      <c r="G70" s="4202"/>
      <c r="H70" s="47" t="s">
        <v>28</v>
      </c>
      <c r="I70" s="48">
        <f>IF($B$8=12,B70,IF($B$8=4,0,IF($B$8=6,0,IF($B$8=3,0,0))))</f>
        <v>0</v>
      </c>
      <c r="J70" s="48">
        <f>IF($B$8=12,C70,IF($B$8=4,0,IF($B$8=6,0,IF($B$8=3,0,0))))</f>
        <v>0</v>
      </c>
      <c r="K70" s="49">
        <f>IF($B$8=12,D70,IF($B$8=4,0,IF($B$8=6,0,IF($B$8=3,0,0))))</f>
        <v>0</v>
      </c>
      <c r="M70" s="4202"/>
      <c r="N70" s="87" t="s">
        <v>28</v>
      </c>
      <c r="O70" s="48">
        <f t="shared" si="14"/>
        <v>0</v>
      </c>
      <c r="P70" s="48">
        <f t="shared" si="13"/>
        <v>0</v>
      </c>
      <c r="Q70" s="49">
        <f t="shared" si="13"/>
        <v>0</v>
      </c>
    </row>
    <row r="71" spans="1:17" ht="16.5" thickTop="1">
      <c r="A71" s="23">
        <v>61</v>
      </c>
      <c r="B71" s="43">
        <f t="shared" ref="B71:B82" si="15">IF(E70&gt;0,PMT($B$6/12,$B$7*$B$8,-$B$5,,1),0)</f>
        <v>0</v>
      </c>
      <c r="C71" s="65">
        <f t="shared" ref="C71:C82" si="16">IF(E70&gt;0,B71-D71,0)</f>
        <v>0</v>
      </c>
      <c r="D71" s="65">
        <f t="shared" ref="D71:D82" si="17">IF(E70&gt;0,B71-(E70*(Interes/12)),0)</f>
        <v>0</v>
      </c>
      <c r="E71" s="44">
        <f t="shared" ref="E71:E82" si="18">IF(E70&gt;0,IF((E70-D71)&gt;0.01,E70-D71,0),0)</f>
        <v>0</v>
      </c>
      <c r="H71" s="226" t="s">
        <v>17</v>
      </c>
      <c r="I71" s="43">
        <f t="shared" ref="I71:I82" si="19">IF($B$8=12,B71,IF($B$8=4,0,IF($B$8=6,0,IF($B$8=3,0,0))))</f>
        <v>0</v>
      </c>
      <c r="J71" s="43">
        <f t="shared" ref="J71:J82" si="20">IF($B$8=12,C71,IF($B$8=4,0,IF($B$8=6,0,IF($B$8=3,0,0))))</f>
        <v>0</v>
      </c>
      <c r="K71" s="44">
        <f t="shared" ref="K71:K82" si="21">IF($B$8=12,D71,IF($B$8=4,0,IF($B$8=6,0,IF($B$8=3,0,0))))</f>
        <v>0</v>
      </c>
      <c r="N71" s="81" t="s">
        <v>17</v>
      </c>
      <c r="O71" s="43">
        <f t="shared" ref="O71:O82" si="22">IF($I$6=5,I23,IF($I$6=4,I35,IF($I$6=3,I47,IF($I$6=2,I59,IF($I$6=1,I71,0)))))</f>
        <v>0</v>
      </c>
      <c r="P71" s="43">
        <f t="shared" ref="P71:P82" si="23">IF($I$6=5,J23,IF($I$6=4,J35,IF($I$6=3,J47,IF($I$6=2,J59,IF($I$6=1,J71,0)))))</f>
        <v>0</v>
      </c>
      <c r="Q71" s="44">
        <f t="shared" ref="Q71:Q82" si="24">IF($I$6=5,K23,IF($I$6=4,K35,IF($I$6=3,K47,IF($I$6=2,K59,IF($I$6=1,K71,0)))))</f>
        <v>0</v>
      </c>
    </row>
    <row r="72" spans="1:17">
      <c r="A72" s="23">
        <v>62</v>
      </c>
      <c r="B72" s="43">
        <f t="shared" si="15"/>
        <v>0</v>
      </c>
      <c r="C72" s="65">
        <f t="shared" si="16"/>
        <v>0</v>
      </c>
      <c r="D72" s="65">
        <f t="shared" si="17"/>
        <v>0</v>
      </c>
      <c r="E72" s="44">
        <f t="shared" si="18"/>
        <v>0</v>
      </c>
      <c r="F72"/>
      <c r="H72" s="226" t="s">
        <v>18</v>
      </c>
      <c r="I72" s="43">
        <f t="shared" si="19"/>
        <v>0</v>
      </c>
      <c r="J72" s="43">
        <f t="shared" si="20"/>
        <v>0</v>
      </c>
      <c r="K72" s="44">
        <f t="shared" si="21"/>
        <v>0</v>
      </c>
      <c r="N72" s="81" t="s">
        <v>18</v>
      </c>
      <c r="O72" s="43">
        <f t="shared" si="22"/>
        <v>0</v>
      </c>
      <c r="P72" s="43">
        <f t="shared" si="23"/>
        <v>0</v>
      </c>
      <c r="Q72" s="44">
        <f t="shared" si="24"/>
        <v>0</v>
      </c>
    </row>
    <row r="73" spans="1:17">
      <c r="A73" s="23">
        <v>63</v>
      </c>
      <c r="B73" s="43">
        <f t="shared" si="15"/>
        <v>0</v>
      </c>
      <c r="C73" s="65">
        <f t="shared" si="16"/>
        <v>0</v>
      </c>
      <c r="D73" s="65">
        <f t="shared" si="17"/>
        <v>0</v>
      </c>
      <c r="E73" s="44">
        <f t="shared" si="18"/>
        <v>0</v>
      </c>
      <c r="F73"/>
      <c r="H73" s="226" t="s">
        <v>19</v>
      </c>
      <c r="I73" s="43">
        <f t="shared" si="19"/>
        <v>0</v>
      </c>
      <c r="J73" s="43">
        <f t="shared" si="20"/>
        <v>0</v>
      </c>
      <c r="K73" s="44">
        <f t="shared" si="21"/>
        <v>0</v>
      </c>
      <c r="N73" s="81" t="s">
        <v>19</v>
      </c>
      <c r="O73" s="43">
        <f t="shared" si="22"/>
        <v>0</v>
      </c>
      <c r="P73" s="43">
        <f t="shared" si="23"/>
        <v>0</v>
      </c>
      <c r="Q73" s="44">
        <f t="shared" si="24"/>
        <v>0</v>
      </c>
    </row>
    <row r="74" spans="1:17">
      <c r="A74" s="23">
        <v>64</v>
      </c>
      <c r="B74" s="43">
        <f t="shared" si="15"/>
        <v>0</v>
      </c>
      <c r="C74" s="65">
        <f t="shared" si="16"/>
        <v>0</v>
      </c>
      <c r="D74" s="65">
        <f t="shared" si="17"/>
        <v>0</v>
      </c>
      <c r="E74" s="44">
        <f t="shared" si="18"/>
        <v>0</v>
      </c>
      <c r="F74"/>
      <c r="H74" s="226" t="s">
        <v>20</v>
      </c>
      <c r="I74" s="43">
        <f t="shared" si="19"/>
        <v>0</v>
      </c>
      <c r="J74" s="43">
        <f t="shared" si="20"/>
        <v>0</v>
      </c>
      <c r="K74" s="44">
        <f t="shared" si="21"/>
        <v>0</v>
      </c>
      <c r="N74" s="81" t="s">
        <v>20</v>
      </c>
      <c r="O74" s="43">
        <f t="shared" si="22"/>
        <v>0</v>
      </c>
      <c r="P74" s="43">
        <f t="shared" si="23"/>
        <v>0</v>
      </c>
      <c r="Q74" s="44">
        <f t="shared" si="24"/>
        <v>0</v>
      </c>
    </row>
    <row r="75" spans="1:17">
      <c r="A75" s="23">
        <v>65</v>
      </c>
      <c r="B75" s="43">
        <f t="shared" si="15"/>
        <v>0</v>
      </c>
      <c r="C75" s="65">
        <f t="shared" si="16"/>
        <v>0</v>
      </c>
      <c r="D75" s="65">
        <f t="shared" si="17"/>
        <v>0</v>
      </c>
      <c r="E75" s="44">
        <f t="shared" si="18"/>
        <v>0</v>
      </c>
      <c r="F75"/>
      <c r="H75" s="226" t="s">
        <v>21</v>
      </c>
      <c r="I75" s="43">
        <f t="shared" si="19"/>
        <v>0</v>
      </c>
      <c r="J75" s="43">
        <f t="shared" si="20"/>
        <v>0</v>
      </c>
      <c r="K75" s="44">
        <f t="shared" si="21"/>
        <v>0</v>
      </c>
      <c r="N75" s="81" t="s">
        <v>21</v>
      </c>
      <c r="O75" s="43">
        <f t="shared" si="22"/>
        <v>0</v>
      </c>
      <c r="P75" s="43">
        <f t="shared" si="23"/>
        <v>0</v>
      </c>
      <c r="Q75" s="44">
        <f t="shared" si="24"/>
        <v>0</v>
      </c>
    </row>
    <row r="76" spans="1:17">
      <c r="A76" s="23">
        <v>66</v>
      </c>
      <c r="B76" s="43">
        <f t="shared" si="15"/>
        <v>0</v>
      </c>
      <c r="C76" s="65">
        <f t="shared" si="16"/>
        <v>0</v>
      </c>
      <c r="D76" s="65">
        <f t="shared" si="17"/>
        <v>0</v>
      </c>
      <c r="E76" s="44">
        <f t="shared" si="18"/>
        <v>0</v>
      </c>
      <c r="F76"/>
      <c r="H76" s="226" t="s">
        <v>22</v>
      </c>
      <c r="I76" s="43">
        <f t="shared" si="19"/>
        <v>0</v>
      </c>
      <c r="J76" s="43">
        <f t="shared" si="20"/>
        <v>0</v>
      </c>
      <c r="K76" s="44">
        <f t="shared" si="21"/>
        <v>0</v>
      </c>
      <c r="N76" s="81" t="s">
        <v>22</v>
      </c>
      <c r="O76" s="43">
        <f t="shared" si="22"/>
        <v>0</v>
      </c>
      <c r="P76" s="43">
        <f t="shared" si="23"/>
        <v>0</v>
      </c>
      <c r="Q76" s="44">
        <f t="shared" si="24"/>
        <v>0</v>
      </c>
    </row>
    <row r="77" spans="1:17">
      <c r="A77" s="23">
        <v>67</v>
      </c>
      <c r="B77" s="43">
        <f t="shared" si="15"/>
        <v>0</v>
      </c>
      <c r="C77" s="65">
        <f t="shared" si="16"/>
        <v>0</v>
      </c>
      <c r="D77" s="65">
        <f t="shared" si="17"/>
        <v>0</v>
      </c>
      <c r="E77" s="44">
        <f t="shared" si="18"/>
        <v>0</v>
      </c>
      <c r="F77"/>
      <c r="H77" s="226" t="s">
        <v>23</v>
      </c>
      <c r="I77" s="43">
        <f t="shared" si="19"/>
        <v>0</v>
      </c>
      <c r="J77" s="43">
        <f t="shared" si="20"/>
        <v>0</v>
      </c>
      <c r="K77" s="44">
        <f t="shared" si="21"/>
        <v>0</v>
      </c>
      <c r="N77" s="81" t="s">
        <v>23</v>
      </c>
      <c r="O77" s="43">
        <f t="shared" si="22"/>
        <v>0</v>
      </c>
      <c r="P77" s="43">
        <f t="shared" si="23"/>
        <v>0</v>
      </c>
      <c r="Q77" s="44">
        <f t="shared" si="24"/>
        <v>0</v>
      </c>
    </row>
    <row r="78" spans="1:17">
      <c r="A78" s="23">
        <v>68</v>
      </c>
      <c r="B78" s="43">
        <f t="shared" si="15"/>
        <v>0</v>
      </c>
      <c r="C78" s="65">
        <f t="shared" si="16"/>
        <v>0</v>
      </c>
      <c r="D78" s="65">
        <f t="shared" si="17"/>
        <v>0</v>
      </c>
      <c r="E78" s="44">
        <f t="shared" si="18"/>
        <v>0</v>
      </c>
      <c r="F78"/>
      <c r="H78" s="226" t="s">
        <v>24</v>
      </c>
      <c r="I78" s="43">
        <f t="shared" si="19"/>
        <v>0</v>
      </c>
      <c r="J78" s="43">
        <f t="shared" si="20"/>
        <v>0</v>
      </c>
      <c r="K78" s="44">
        <f t="shared" si="21"/>
        <v>0</v>
      </c>
      <c r="N78" s="81" t="s">
        <v>24</v>
      </c>
      <c r="O78" s="43">
        <f t="shared" si="22"/>
        <v>0</v>
      </c>
      <c r="P78" s="43">
        <f t="shared" si="23"/>
        <v>0</v>
      </c>
      <c r="Q78" s="44">
        <f t="shared" si="24"/>
        <v>0</v>
      </c>
    </row>
    <row r="79" spans="1:17">
      <c r="A79" s="23">
        <v>69</v>
      </c>
      <c r="B79" s="43">
        <f t="shared" si="15"/>
        <v>0</v>
      </c>
      <c r="C79" s="65">
        <f t="shared" si="16"/>
        <v>0</v>
      </c>
      <c r="D79" s="65">
        <f t="shared" si="17"/>
        <v>0</v>
      </c>
      <c r="E79" s="44">
        <f t="shared" si="18"/>
        <v>0</v>
      </c>
      <c r="F79"/>
      <c r="H79" s="226" t="s">
        <v>25</v>
      </c>
      <c r="I79" s="43">
        <f t="shared" si="19"/>
        <v>0</v>
      </c>
      <c r="J79" s="43">
        <f t="shared" si="20"/>
        <v>0</v>
      </c>
      <c r="K79" s="44">
        <f t="shared" si="21"/>
        <v>0</v>
      </c>
      <c r="N79" s="81" t="s">
        <v>25</v>
      </c>
      <c r="O79" s="43">
        <f t="shared" si="22"/>
        <v>0</v>
      </c>
      <c r="P79" s="43">
        <f t="shared" si="23"/>
        <v>0</v>
      </c>
      <c r="Q79" s="44">
        <f t="shared" si="24"/>
        <v>0</v>
      </c>
    </row>
    <row r="80" spans="1:17">
      <c r="A80" s="23">
        <v>70</v>
      </c>
      <c r="B80" s="43">
        <f t="shared" si="15"/>
        <v>0</v>
      </c>
      <c r="C80" s="65">
        <f t="shared" si="16"/>
        <v>0</v>
      </c>
      <c r="D80" s="65">
        <f t="shared" si="17"/>
        <v>0</v>
      </c>
      <c r="E80" s="44">
        <f t="shared" si="18"/>
        <v>0</v>
      </c>
      <c r="F80"/>
      <c r="H80" s="226" t="s">
        <v>26</v>
      </c>
      <c r="I80" s="43">
        <f t="shared" si="19"/>
        <v>0</v>
      </c>
      <c r="J80" s="43">
        <f t="shared" si="20"/>
        <v>0</v>
      </c>
      <c r="K80" s="44">
        <f t="shared" si="21"/>
        <v>0</v>
      </c>
      <c r="N80" s="81" t="s">
        <v>26</v>
      </c>
      <c r="O80" s="43">
        <f t="shared" si="22"/>
        <v>0</v>
      </c>
      <c r="P80" s="43">
        <f t="shared" si="23"/>
        <v>0</v>
      </c>
      <c r="Q80" s="44">
        <f t="shared" si="24"/>
        <v>0</v>
      </c>
    </row>
    <row r="81" spans="1:17">
      <c r="A81" s="23">
        <v>71</v>
      </c>
      <c r="B81" s="43">
        <f t="shared" si="15"/>
        <v>0</v>
      </c>
      <c r="C81" s="65">
        <f t="shared" si="16"/>
        <v>0</v>
      </c>
      <c r="D81" s="65">
        <f t="shared" si="17"/>
        <v>0</v>
      </c>
      <c r="E81" s="44">
        <f t="shared" si="18"/>
        <v>0</v>
      </c>
      <c r="F81"/>
      <c r="H81" s="226" t="s">
        <v>27</v>
      </c>
      <c r="I81" s="43">
        <f t="shared" si="19"/>
        <v>0</v>
      </c>
      <c r="J81" s="43">
        <f t="shared" si="20"/>
        <v>0</v>
      </c>
      <c r="K81" s="44">
        <f t="shared" si="21"/>
        <v>0</v>
      </c>
      <c r="N81" s="81" t="s">
        <v>27</v>
      </c>
      <c r="O81" s="43">
        <f t="shared" si="22"/>
        <v>0</v>
      </c>
      <c r="P81" s="43">
        <f t="shared" si="23"/>
        <v>0</v>
      </c>
      <c r="Q81" s="44">
        <f t="shared" si="24"/>
        <v>0</v>
      </c>
    </row>
    <row r="82" spans="1:17" ht="16.5" thickBot="1">
      <c r="A82" s="26">
        <v>72</v>
      </c>
      <c r="B82" s="48">
        <f t="shared" si="15"/>
        <v>0</v>
      </c>
      <c r="C82" s="78">
        <f t="shared" si="16"/>
        <v>0</v>
      </c>
      <c r="D82" s="78">
        <f t="shared" si="17"/>
        <v>0</v>
      </c>
      <c r="E82" s="49">
        <f t="shared" si="18"/>
        <v>0</v>
      </c>
      <c r="F82" s="243">
        <f>SUM(D71:D82)</f>
        <v>0</v>
      </c>
      <c r="H82" s="47" t="s">
        <v>28</v>
      </c>
      <c r="I82" s="48">
        <f t="shared" si="19"/>
        <v>0</v>
      </c>
      <c r="J82" s="48">
        <f t="shared" si="20"/>
        <v>0</v>
      </c>
      <c r="K82" s="49">
        <f t="shared" si="21"/>
        <v>0</v>
      </c>
      <c r="N82" s="87" t="s">
        <v>28</v>
      </c>
      <c r="O82" s="48">
        <f t="shared" si="22"/>
        <v>0</v>
      </c>
      <c r="P82" s="48">
        <f t="shared" si="23"/>
        <v>0</v>
      </c>
      <c r="Q82" s="49">
        <f t="shared" si="24"/>
        <v>0</v>
      </c>
    </row>
    <row r="83" spans="1:17" ht="16.5" thickTop="1"/>
  </sheetData>
  <sheetProtection sheet="1" formatColumns="0" formatRows="0"/>
  <mergeCells count="10">
    <mergeCell ref="M59:M70"/>
    <mergeCell ref="M11:M22"/>
    <mergeCell ref="M23:M34"/>
    <mergeCell ref="M35:M46"/>
    <mergeCell ref="M47:M58"/>
    <mergeCell ref="G59:G70"/>
    <mergeCell ref="G11:G22"/>
    <mergeCell ref="G23:G34"/>
    <mergeCell ref="G35:G46"/>
    <mergeCell ref="G47:G58"/>
  </mergeCells>
  <phoneticPr fontId="9" type="noConversion"/>
  <dataValidations xWindow="641" yWindow="272" count="1">
    <dataValidation allowBlank="1" showInputMessage="1" showErrorMessage="1" error="Solo valores enteros comprendidos entre 1 y 5" sqref="I6"/>
  </dataValidations>
  <printOptions horizontalCentered="1"/>
  <pageMargins left="0.9055118110236221" right="0.75" top="0.39370078740157483" bottom="1" header="0" footer="0"/>
  <pageSetup paperSize="9" scale="46"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topLeftCell="A2" workbookViewId="0">
      <selection activeCell="I6" sqref="I6"/>
    </sheetView>
  </sheetViews>
  <sheetFormatPr baseColWidth="10" defaultColWidth="11.1640625" defaultRowHeight="15.75"/>
  <cols>
    <col min="1" max="1" width="24" style="9" customWidth="1"/>
    <col min="2" max="3" width="18.33203125" style="9" customWidth="1"/>
    <col min="4" max="4" width="20.1640625" style="9" bestFit="1" customWidth="1"/>
    <col min="5" max="5" width="21.83203125" style="9" customWidth="1"/>
    <col min="6" max="6" width="7" style="9" customWidth="1"/>
    <col min="7" max="7" width="3.83203125" style="9" customWidth="1"/>
    <col min="8" max="8" width="26.1640625" style="9" customWidth="1"/>
    <col min="9" max="9" width="18" style="9" customWidth="1"/>
    <col min="10" max="10" width="18.33203125" style="9" customWidth="1"/>
    <col min="11" max="11" width="20.83203125" style="9" customWidth="1"/>
    <col min="12" max="12" width="7" style="9" customWidth="1"/>
    <col min="13" max="13" width="3.83203125" style="9" customWidth="1"/>
    <col min="14" max="14" width="19.33203125" style="9" customWidth="1"/>
    <col min="15" max="16" width="18.33203125" style="9" customWidth="1"/>
    <col min="17" max="17" width="20.83203125" style="9" customWidth="1"/>
    <col min="18" max="18" width="21" style="9" customWidth="1"/>
    <col min="19" max="21" width="11.1640625" style="9"/>
    <col min="22" max="22" width="12.5" style="9" bestFit="1" customWidth="1"/>
    <col min="23" max="23" width="11.1640625" style="9"/>
    <col min="24" max="24" width="15.1640625" style="9" customWidth="1"/>
    <col min="25" max="16384" width="11.1640625" style="9"/>
  </cols>
  <sheetData>
    <row r="1" spans="1:24" ht="39.950000000000003" customHeight="1" thickBot="1">
      <c r="A1" s="8" t="s">
        <v>123</v>
      </c>
      <c r="D1" s="96"/>
      <c r="E1" s="96"/>
      <c r="F1" s="96"/>
    </row>
    <row r="2" spans="1:24" ht="39.950000000000003" customHeight="1" thickTop="1" thickBot="1">
      <c r="A2" s="39"/>
      <c r="N2" s="17" t="s">
        <v>68</v>
      </c>
      <c r="O2" s="31" t="s">
        <v>14</v>
      </c>
      <c r="P2" s="31" t="s">
        <v>66</v>
      </c>
      <c r="Q2" s="33" t="s">
        <v>67</v>
      </c>
      <c r="R2" s="32" t="s">
        <v>15</v>
      </c>
    </row>
    <row r="3" spans="1:24" ht="20.100000000000001" customHeight="1" thickTop="1">
      <c r="A3" s="8" t="s">
        <v>98</v>
      </c>
      <c r="G3" s="39"/>
      <c r="N3" s="27">
        <v>2015</v>
      </c>
      <c r="O3" s="41">
        <f>SUM(O12:O23)</f>
        <v>0</v>
      </c>
      <c r="P3" s="41">
        <f>SUM(P12:P23)</f>
        <v>0</v>
      </c>
      <c r="Q3" s="41">
        <f>SUM(Q12:Q23)</f>
        <v>0</v>
      </c>
      <c r="R3" s="44">
        <f>IF($I$6=1,$B$5-Q3,0)</f>
        <v>0</v>
      </c>
    </row>
    <row r="4" spans="1:24" ht="20.100000000000001" customHeight="1" thickBot="1">
      <c r="N4" s="28">
        <v>2016</v>
      </c>
      <c r="O4" s="43">
        <f>SUM(O24:O35)</f>
        <v>0</v>
      </c>
      <c r="P4" s="43">
        <f>SUM(P24:P35)</f>
        <v>0</v>
      </c>
      <c r="Q4" s="43">
        <f>SUM(Q24:Q35)</f>
        <v>0</v>
      </c>
      <c r="R4" s="44">
        <f>IF($I$6=1,$B$5-(Q3+Q4),IF($I$6=2,$B$5-Q4,0))</f>
        <v>0</v>
      </c>
    </row>
    <row r="5" spans="1:24" ht="20.100000000000001" customHeight="1" thickTop="1" thickBot="1">
      <c r="A5" s="10" t="s">
        <v>54</v>
      </c>
      <c r="B5" s="124">
        <f>'(0) 3a. Préstam Particip.'!I17</f>
        <v>0</v>
      </c>
      <c r="C5" s="96"/>
      <c r="N5" s="28">
        <v>2017</v>
      </c>
      <c r="O5" s="43">
        <f>SUM(O36:O47)</f>
        <v>0</v>
      </c>
      <c r="P5" s="43">
        <f>SUM(P36:P47)</f>
        <v>0</v>
      </c>
      <c r="Q5" s="43">
        <f>SUM(Q36:Q47)</f>
        <v>0</v>
      </c>
      <c r="R5" s="44">
        <f>IF($I$6=1,$B$5-(Q3+Q4+Q5),IF($I$6=2,$B$5-(Q4+Q5),IF($I$6=3,$B$5-(Q5),0)))</f>
        <v>0</v>
      </c>
    </row>
    <row r="6" spans="1:24" ht="20.100000000000001" customHeight="1" thickBot="1">
      <c r="A6" s="11" t="s">
        <v>9</v>
      </c>
      <c r="B6" s="125">
        <f>'(0) 3a. Préstam Particip.'!I18</f>
        <v>0.05</v>
      </c>
      <c r="C6" s="96"/>
      <c r="D6" s="106"/>
      <c r="E6" s="12" t="s">
        <v>70</v>
      </c>
      <c r="F6" s="13"/>
      <c r="G6" s="14"/>
      <c r="H6" s="14"/>
      <c r="I6" s="129" t="str">
        <f>IF('(0) 3a. Préstam Particip.'!I17&gt;0,1,"")</f>
        <v/>
      </c>
      <c r="J6" s="15" t="s">
        <v>75</v>
      </c>
      <c r="N6" s="28">
        <v>2018</v>
      </c>
      <c r="O6" s="43">
        <f>SUM(O48:O59)</f>
        <v>0</v>
      </c>
      <c r="P6" s="43">
        <f>IF(SUM(P48:P59)&lt;&gt;0,SUM(P48:P59),0)</f>
        <v>0</v>
      </c>
      <c r="Q6" s="43">
        <f>SUM(Q48:Q59)</f>
        <v>0</v>
      </c>
      <c r="R6" s="44">
        <f>IF($I$6=1,$B$5-(Q3+Q4+Q5+Q6),IF($I$6=2,$B$5-(Q4+Q5+Q6),IF($I$6=3,$B$5-(Q5+Q6),IF($I$6=4,$B$5-Q6,0))))</f>
        <v>0</v>
      </c>
    </row>
    <row r="7" spans="1:24" ht="20.100000000000001" customHeight="1" thickBot="1">
      <c r="A7" s="11" t="s">
        <v>10</v>
      </c>
      <c r="B7" s="126">
        <f>'(0) 3a. Préstam Particip.'!I19</f>
        <v>5</v>
      </c>
      <c r="C7" s="96"/>
      <c r="N7" s="29">
        <v>2019</v>
      </c>
      <c r="O7" s="48">
        <f>SUM(O60:O71)</f>
        <v>0</v>
      </c>
      <c r="P7" s="48">
        <f>SUM(P60:P71)</f>
        <v>0</v>
      </c>
      <c r="Q7" s="48">
        <f>SUM(Q60:Q71)</f>
        <v>0</v>
      </c>
      <c r="R7" s="49">
        <f>IF($I$6=1,$B$5-(Q3+Q4+Q5+Q6+Q7),IF($I$6=2,$B$5-(Q4+Q5+Q6+Q7),IF($I$6=3,$B$5-(Q5+Q6+Q7),IF($I$6=4,$B$5-(Q6+Q7),IF($I$6=5,$B$5-Q7,0)))))</f>
        <v>0</v>
      </c>
    </row>
    <row r="8" spans="1:24" ht="20.100000000000001" customHeight="1" thickTop="1" thickBot="1">
      <c r="A8" s="11" t="s">
        <v>12</v>
      </c>
      <c r="B8" s="126">
        <f>'(0) 3a. Préstam Particip.'!I20</f>
        <v>12</v>
      </c>
      <c r="C8" s="96"/>
      <c r="N8" s="29">
        <v>2020</v>
      </c>
      <c r="O8" s="48">
        <f>SUM(O72:O83)</f>
        <v>0</v>
      </c>
      <c r="P8" s="48">
        <f>SUM(P72:P83)</f>
        <v>0</v>
      </c>
      <c r="Q8" s="48">
        <f>SUM(Q72:Q83)</f>
        <v>0</v>
      </c>
      <c r="R8" s="49">
        <f>IF($I$6=1,$B$5-(Q3+Q4+Q5+Q6+Q7+Q8),IF($I$6=2,$B$5-(Q4+Q5+Q6+Q7+Q8),IF($I$6=3,$B$5-(Q5+Q6+Q7+Q8),IF($I$6=4,$B$5-(Q6+Q7+Q8),IF($I$6=5,$B$5-(Q7+Q8),IF($I$6=6,$B$5-(Q8),0))))))</f>
        <v>0</v>
      </c>
    </row>
    <row r="9" spans="1:24" ht="20.100000000000001" customHeight="1" thickTop="1" thickBot="1">
      <c r="A9" s="16"/>
      <c r="B9" s="127"/>
      <c r="C9" s="96"/>
      <c r="D9" s="108" t="s">
        <v>82</v>
      </c>
      <c r="E9" s="231">
        <f>'(0) 3a. Préstam Particip.'!I22*0</f>
        <v>0</v>
      </c>
      <c r="H9" s="108" t="s">
        <v>97</v>
      </c>
      <c r="I9" s="128">
        <f>'(0) 3a. Préstam Particip.'!I21</f>
        <v>0</v>
      </c>
    </row>
    <row r="10" spans="1:24" ht="20.100000000000001" customHeight="1" thickTop="1" thickBot="1"/>
    <row r="11" spans="1:24" ht="33" customHeight="1" thickTop="1" thickBot="1">
      <c r="A11" s="17" t="s">
        <v>13</v>
      </c>
      <c r="B11" s="31" t="s">
        <v>14</v>
      </c>
      <c r="C11" s="18" t="s">
        <v>11</v>
      </c>
      <c r="D11" s="18" t="s">
        <v>6</v>
      </c>
      <c r="E11" s="19" t="s">
        <v>15</v>
      </c>
      <c r="F11" s="20"/>
      <c r="H11" s="17" t="s">
        <v>42</v>
      </c>
      <c r="I11" s="31" t="s">
        <v>14</v>
      </c>
      <c r="J11" s="31" t="s">
        <v>66</v>
      </c>
      <c r="K11" s="32" t="s">
        <v>67</v>
      </c>
      <c r="L11" s="20"/>
      <c r="M11" s="30"/>
      <c r="N11" s="17" t="s">
        <v>42</v>
      </c>
      <c r="O11" s="31" t="s">
        <v>14</v>
      </c>
      <c r="P11" s="31" t="s">
        <v>66</v>
      </c>
      <c r="Q11" s="32" t="s">
        <v>67</v>
      </c>
      <c r="T11" s="30"/>
      <c r="U11" s="20"/>
      <c r="V11" s="20"/>
      <c r="W11" s="20"/>
      <c r="X11" s="20"/>
    </row>
    <row r="12" spans="1:24" ht="15.75" customHeight="1" thickTop="1">
      <c r="A12" s="21">
        <v>1</v>
      </c>
      <c r="B12" s="43">
        <f t="shared" ref="B12:B75" si="0">IF(A12&gt;$I$9,IF(E11&gt;1,PMT($B$6/$B$8,$B$7*$B$8,-$B$5),0),0)</f>
        <v>0</v>
      </c>
      <c r="C12" s="122">
        <f>IF(B12&gt;0,B12-D12,E12*($B$6/$B$8))+E9</f>
        <v>0</v>
      </c>
      <c r="D12" s="41">
        <f>IF(A12&gt;$I$9,B12-($B$5*($B$6/$B$8)),0)</f>
        <v>0</v>
      </c>
      <c r="E12" s="67">
        <f>$B$5-D12</f>
        <v>0</v>
      </c>
      <c r="G12" s="4194">
        <f>'Aux 4.1.1Crédito Inicial 1'!G12</f>
        <v>0</v>
      </c>
      <c r="H12" s="34" t="s">
        <v>17</v>
      </c>
      <c r="I12" s="41">
        <f>$B$12</f>
        <v>0</v>
      </c>
      <c r="J12" s="41">
        <f>C12</f>
        <v>0</v>
      </c>
      <c r="K12" s="67">
        <f>D12</f>
        <v>0</v>
      </c>
      <c r="M12" s="4194">
        <f>G12</f>
        <v>0</v>
      </c>
      <c r="N12" s="34" t="s">
        <v>17</v>
      </c>
      <c r="O12" s="41">
        <f t="shared" ref="O12:Q23" si="1">IF($I$6=1,I12,0)</f>
        <v>0</v>
      </c>
      <c r="P12" s="41">
        <f t="shared" si="1"/>
        <v>0</v>
      </c>
      <c r="Q12" s="42">
        <f t="shared" si="1"/>
        <v>0</v>
      </c>
      <c r="T12" s="234"/>
      <c r="V12" s="51"/>
      <c r="W12" s="51"/>
      <c r="X12" s="51"/>
    </row>
    <row r="13" spans="1:24" ht="15.75" customHeight="1">
      <c r="A13" s="23">
        <v>2</v>
      </c>
      <c r="B13" s="43">
        <f t="shared" si="0"/>
        <v>0</v>
      </c>
      <c r="C13" s="123">
        <f t="shared" ref="C13:C76" si="2">IF(B13&gt;0,B13-D13,E13*($B$6/$B$8))</f>
        <v>0</v>
      </c>
      <c r="D13" s="43">
        <f t="shared" ref="D13:D76" si="3">IF(A13&gt;$I$9,B13-(E12*($B$6/$B$8)),0)</f>
        <v>0</v>
      </c>
      <c r="E13" s="68">
        <f t="shared" ref="E13:E76" si="4">IF((E12-D13)&gt;0,E12-D13,0)</f>
        <v>0</v>
      </c>
      <c r="G13" s="4195"/>
      <c r="H13" s="9" t="s">
        <v>18</v>
      </c>
      <c r="I13" s="43">
        <f>IF($B$8=12,B13,0)</f>
        <v>0</v>
      </c>
      <c r="J13" s="43">
        <f>IF($B$8=12,C13,0)</f>
        <v>0</v>
      </c>
      <c r="K13" s="68">
        <f>IF($B$8=12,D13,0)</f>
        <v>0</v>
      </c>
      <c r="M13" s="4195"/>
      <c r="N13" s="9" t="s">
        <v>18</v>
      </c>
      <c r="O13" s="43">
        <f t="shared" si="1"/>
        <v>0</v>
      </c>
      <c r="P13" s="43">
        <f t="shared" si="1"/>
        <v>0</v>
      </c>
      <c r="Q13" s="44">
        <f t="shared" si="1"/>
        <v>0</v>
      </c>
      <c r="T13" s="234"/>
      <c r="V13" s="51"/>
      <c r="W13" s="51"/>
      <c r="X13" s="51"/>
    </row>
    <row r="14" spans="1:24" ht="15.75" customHeight="1">
      <c r="A14" s="23">
        <v>3</v>
      </c>
      <c r="B14" s="43">
        <f t="shared" si="0"/>
        <v>0</v>
      </c>
      <c r="C14" s="123">
        <f t="shared" si="2"/>
        <v>0</v>
      </c>
      <c r="D14" s="43">
        <f t="shared" si="3"/>
        <v>0</v>
      </c>
      <c r="E14" s="68">
        <f t="shared" si="4"/>
        <v>0</v>
      </c>
      <c r="G14" s="4195"/>
      <c r="H14" s="9" t="s">
        <v>19</v>
      </c>
      <c r="I14" s="43">
        <f>IF($B$8=12,B14,IF($B$8=6,B13,0))</f>
        <v>0</v>
      </c>
      <c r="J14" s="43">
        <f>IF($B$8=12,C14,IF($B$8=6,C13,0))</f>
        <v>0</v>
      </c>
      <c r="K14" s="68">
        <f>IF($B$8=12,D14,IF($B$8=6,D13,0))</f>
        <v>0</v>
      </c>
      <c r="M14" s="4195"/>
      <c r="N14" s="9" t="s">
        <v>19</v>
      </c>
      <c r="O14" s="43">
        <f t="shared" si="1"/>
        <v>0</v>
      </c>
      <c r="P14" s="43">
        <f t="shared" si="1"/>
        <v>0</v>
      </c>
      <c r="Q14" s="44">
        <f t="shared" si="1"/>
        <v>0</v>
      </c>
      <c r="T14" s="234"/>
      <c r="V14" s="51"/>
      <c r="W14" s="51"/>
      <c r="X14" s="51"/>
    </row>
    <row r="15" spans="1:24" ht="15.75" customHeight="1">
      <c r="A15" s="23">
        <v>4</v>
      </c>
      <c r="B15" s="43">
        <f t="shared" si="0"/>
        <v>0</v>
      </c>
      <c r="C15" s="123">
        <f t="shared" si="2"/>
        <v>0</v>
      </c>
      <c r="D15" s="43">
        <f t="shared" si="3"/>
        <v>0</v>
      </c>
      <c r="E15" s="68">
        <f t="shared" si="4"/>
        <v>0</v>
      </c>
      <c r="G15" s="4195"/>
      <c r="H15" s="9" t="s">
        <v>20</v>
      </c>
      <c r="I15" s="43">
        <f>IF($B$8=12,B15,IF($B$8=4,B13,IF($B$8=6,0,IF($B$8=3,0,0))))</f>
        <v>0</v>
      </c>
      <c r="J15" s="43">
        <f>IF($B$8=12,C15,IF($B$8=4,C13,IF($B$8=6,0,IF($B$8=3,0,0))))</f>
        <v>0</v>
      </c>
      <c r="K15" s="68">
        <f>IF($B$8=12,D15,IF($B$8=4,D13,IF($B$8=6,0,IF($B$8=3,0,0))))</f>
        <v>0</v>
      </c>
      <c r="M15" s="4195"/>
      <c r="N15" s="9" t="s">
        <v>20</v>
      </c>
      <c r="O15" s="43">
        <f t="shared" si="1"/>
        <v>0</v>
      </c>
      <c r="P15" s="43">
        <f t="shared" si="1"/>
        <v>0</v>
      </c>
      <c r="Q15" s="44">
        <f t="shared" si="1"/>
        <v>0</v>
      </c>
      <c r="T15" s="234"/>
      <c r="V15" s="51"/>
      <c r="W15" s="51"/>
      <c r="X15" s="51"/>
    </row>
    <row r="16" spans="1:24" ht="15.75" customHeight="1">
      <c r="A16" s="23">
        <v>5</v>
      </c>
      <c r="B16" s="43">
        <f t="shared" si="0"/>
        <v>0</v>
      </c>
      <c r="C16" s="123">
        <f t="shared" si="2"/>
        <v>0</v>
      </c>
      <c r="D16" s="43">
        <f t="shared" si="3"/>
        <v>0</v>
      </c>
      <c r="E16" s="68">
        <f t="shared" si="4"/>
        <v>0</v>
      </c>
      <c r="G16" s="4195"/>
      <c r="H16" s="9" t="s">
        <v>21</v>
      </c>
      <c r="I16" s="43">
        <f>IF($B$8=12,B16,IF($B$8=4,0,IF($B$8=6,B14,IF($B$8=3,B13,0))))</f>
        <v>0</v>
      </c>
      <c r="J16" s="43">
        <f>IF($B$8=12,C16,IF($B$8=4,0,IF($B$8=6,C14,IF($B$8=3,C13,0))))</f>
        <v>0</v>
      </c>
      <c r="K16" s="68">
        <f>IF($B$8=12,D16,IF($B$8=4,0,IF($B$8=6,D14,IF($B$8=3,D13,0))))</f>
        <v>0</v>
      </c>
      <c r="M16" s="4195"/>
      <c r="N16" s="9" t="s">
        <v>21</v>
      </c>
      <c r="O16" s="43">
        <f t="shared" si="1"/>
        <v>0</v>
      </c>
      <c r="P16" s="43">
        <f t="shared" si="1"/>
        <v>0</v>
      </c>
      <c r="Q16" s="44">
        <f t="shared" si="1"/>
        <v>0</v>
      </c>
      <c r="T16" s="234"/>
      <c r="V16" s="51"/>
      <c r="W16" s="51"/>
      <c r="X16" s="51"/>
    </row>
    <row r="17" spans="1:24" ht="15.75" customHeight="1">
      <c r="A17" s="23">
        <v>6</v>
      </c>
      <c r="B17" s="43">
        <f t="shared" si="0"/>
        <v>0</v>
      </c>
      <c r="C17" s="123">
        <f t="shared" si="2"/>
        <v>0</v>
      </c>
      <c r="D17" s="43">
        <f t="shared" si="3"/>
        <v>0</v>
      </c>
      <c r="E17" s="68">
        <f t="shared" si="4"/>
        <v>0</v>
      </c>
      <c r="G17" s="4195"/>
      <c r="H17" s="9" t="s">
        <v>22</v>
      </c>
      <c r="I17" s="43">
        <f>IF($B$8=12,B17,IF($B$8=4,0,IF($B$8=6,0,IF($B$8=3,0,0))))</f>
        <v>0</v>
      </c>
      <c r="J17" s="43">
        <f>IF($B$8=12,C17,IF($B$8=4,0,IF($B$8=6,0,IF($B$8=3,0,0))))</f>
        <v>0</v>
      </c>
      <c r="K17" s="68">
        <f>IF($B$8=12,D17,IF($B$8=4,0,IF($B$8=6,0,IF($B$8=3,0,0))))</f>
        <v>0</v>
      </c>
      <c r="M17" s="4195"/>
      <c r="N17" s="9" t="s">
        <v>22</v>
      </c>
      <c r="O17" s="43">
        <f t="shared" si="1"/>
        <v>0</v>
      </c>
      <c r="P17" s="43">
        <f t="shared" si="1"/>
        <v>0</v>
      </c>
      <c r="Q17" s="44">
        <f t="shared" si="1"/>
        <v>0</v>
      </c>
      <c r="T17" s="234"/>
      <c r="V17" s="51"/>
      <c r="W17" s="51"/>
      <c r="X17" s="51"/>
    </row>
    <row r="18" spans="1:24" ht="15.75" customHeight="1">
      <c r="A18" s="23">
        <v>7</v>
      </c>
      <c r="B18" s="43">
        <f t="shared" si="0"/>
        <v>0</v>
      </c>
      <c r="C18" s="123">
        <f t="shared" si="2"/>
        <v>0</v>
      </c>
      <c r="D18" s="43">
        <f t="shared" si="3"/>
        <v>0</v>
      </c>
      <c r="E18" s="68">
        <f t="shared" si="4"/>
        <v>0</v>
      </c>
      <c r="G18" s="4195"/>
      <c r="H18" s="9" t="s">
        <v>23</v>
      </c>
      <c r="I18" s="43">
        <f>IF($B$8=12,B18,IF($B$8=4,B14,IF($B$8=6,B15,IF($B$8=3,0,IF($B$8=2,B13,0)))))</f>
        <v>0</v>
      </c>
      <c r="J18" s="43">
        <f>IF($B$8=12,C18,IF($B$8=4,C14,IF($B$8=6,C15,IF($B$8=3,0,IF($B$8=2,C13,0)))))</f>
        <v>0</v>
      </c>
      <c r="K18" s="68">
        <f>IF($B$8=12,D18,IF($B$8=4,D14,IF($B$8=6,D15,IF($B$8=3,0,IF($B$8=2,D13,0)))))</f>
        <v>0</v>
      </c>
      <c r="M18" s="4195"/>
      <c r="N18" s="9" t="s">
        <v>23</v>
      </c>
      <c r="O18" s="43">
        <f t="shared" si="1"/>
        <v>0</v>
      </c>
      <c r="P18" s="43">
        <f t="shared" si="1"/>
        <v>0</v>
      </c>
      <c r="Q18" s="44">
        <f t="shared" si="1"/>
        <v>0</v>
      </c>
      <c r="T18" s="234"/>
      <c r="V18" s="51"/>
      <c r="W18" s="51"/>
      <c r="X18" s="51"/>
    </row>
    <row r="19" spans="1:24" ht="15.75" customHeight="1">
      <c r="A19" s="23">
        <v>8</v>
      </c>
      <c r="B19" s="43">
        <f t="shared" si="0"/>
        <v>0</v>
      </c>
      <c r="C19" s="123">
        <f t="shared" si="2"/>
        <v>0</v>
      </c>
      <c r="D19" s="43">
        <f t="shared" si="3"/>
        <v>0</v>
      </c>
      <c r="E19" s="68">
        <f t="shared" si="4"/>
        <v>0</v>
      </c>
      <c r="G19" s="4195"/>
      <c r="H19" s="9" t="s">
        <v>24</v>
      </c>
      <c r="I19" s="43">
        <f>IF($B$8=12,B19,IF($B$8=4,0,IF($B$8=6,0,IF($B$8=3,0,0))))</f>
        <v>0</v>
      </c>
      <c r="J19" s="43">
        <f>IF($B$8=12,C19,IF($B$8=4,0,IF($B$8=6,0,IF($B$8=3,0,0))))</f>
        <v>0</v>
      </c>
      <c r="K19" s="68">
        <f>IF($B$8=12,D19,IF($B$8=4,0,IF($B$8=6,0,IF($B$8=3,0,0))))</f>
        <v>0</v>
      </c>
      <c r="M19" s="4195"/>
      <c r="N19" s="9" t="s">
        <v>24</v>
      </c>
      <c r="O19" s="43">
        <f t="shared" si="1"/>
        <v>0</v>
      </c>
      <c r="P19" s="43">
        <f t="shared" si="1"/>
        <v>0</v>
      </c>
      <c r="Q19" s="44">
        <f t="shared" si="1"/>
        <v>0</v>
      </c>
      <c r="T19" s="234"/>
      <c r="V19" s="51"/>
      <c r="W19" s="51"/>
      <c r="X19" s="51"/>
    </row>
    <row r="20" spans="1:24" ht="15.75" customHeight="1">
      <c r="A20" s="23">
        <v>9</v>
      </c>
      <c r="B20" s="43">
        <f t="shared" si="0"/>
        <v>0</v>
      </c>
      <c r="C20" s="123">
        <f t="shared" si="2"/>
        <v>0</v>
      </c>
      <c r="D20" s="43">
        <f t="shared" si="3"/>
        <v>0</v>
      </c>
      <c r="E20" s="68">
        <f t="shared" si="4"/>
        <v>0</v>
      </c>
      <c r="G20" s="4195"/>
      <c r="H20" s="9" t="s">
        <v>25</v>
      </c>
      <c r="I20" s="43">
        <f>IF($B$8=12,B20,IF($B$8=4,0,IF($B$8=6,B16,IF($B$8=3,B14,0))))</f>
        <v>0</v>
      </c>
      <c r="J20" s="43">
        <f>IF($B$8=12,C20,IF($B$8=4,0,IF($B$8=6,C16,IF($B$8=3,C14,0))))</f>
        <v>0</v>
      </c>
      <c r="K20" s="68">
        <f>IF($B$8=12,D20,IF($B$8=4,0,IF($B$8=6,D16,IF($B$8=3,D14,0))))</f>
        <v>0</v>
      </c>
      <c r="M20" s="4195"/>
      <c r="N20" s="9" t="s">
        <v>25</v>
      </c>
      <c r="O20" s="43">
        <f t="shared" si="1"/>
        <v>0</v>
      </c>
      <c r="P20" s="43">
        <f t="shared" si="1"/>
        <v>0</v>
      </c>
      <c r="Q20" s="44">
        <f t="shared" si="1"/>
        <v>0</v>
      </c>
      <c r="T20" s="234"/>
      <c r="V20" s="51"/>
      <c r="W20" s="51"/>
      <c r="X20" s="51"/>
    </row>
    <row r="21" spans="1:24" ht="15.75" customHeight="1">
      <c r="A21" s="23">
        <v>10</v>
      </c>
      <c r="B21" s="43">
        <f t="shared" si="0"/>
        <v>0</v>
      </c>
      <c r="C21" s="123">
        <f t="shared" si="2"/>
        <v>0</v>
      </c>
      <c r="D21" s="43">
        <f t="shared" si="3"/>
        <v>0</v>
      </c>
      <c r="E21" s="68">
        <f t="shared" si="4"/>
        <v>0</v>
      </c>
      <c r="G21" s="4195"/>
      <c r="H21" s="9" t="s">
        <v>26</v>
      </c>
      <c r="I21" s="43">
        <f>IF($B$8=12,B21,IF($B$8=4,B15,IF($B$8=6,0,IF($B$8=3,0,0))))</f>
        <v>0</v>
      </c>
      <c r="J21" s="43">
        <f>IF($B$8=12,C21,IF($B$8=4,C15,IF($B$8=6,0,IF($B$8=3,0,0))))</f>
        <v>0</v>
      </c>
      <c r="K21" s="68">
        <f>IF($B$8=12,D21,IF($B$8=4,D15,IF($B$8=6,0,IF($B$8=3,0,0))))</f>
        <v>0</v>
      </c>
      <c r="M21" s="4195"/>
      <c r="N21" s="9" t="s">
        <v>26</v>
      </c>
      <c r="O21" s="43">
        <f t="shared" si="1"/>
        <v>0</v>
      </c>
      <c r="P21" s="43">
        <f t="shared" si="1"/>
        <v>0</v>
      </c>
      <c r="Q21" s="44">
        <f t="shared" si="1"/>
        <v>0</v>
      </c>
      <c r="T21" s="234"/>
      <c r="V21" s="51"/>
      <c r="W21" s="51"/>
      <c r="X21" s="51"/>
    </row>
    <row r="22" spans="1:24" ht="15.75" customHeight="1">
      <c r="A22" s="23">
        <v>11</v>
      </c>
      <c r="B22" s="43">
        <f t="shared" si="0"/>
        <v>0</v>
      </c>
      <c r="C22" s="123">
        <f t="shared" si="2"/>
        <v>0</v>
      </c>
      <c r="D22" s="43">
        <f t="shared" si="3"/>
        <v>0</v>
      </c>
      <c r="E22" s="68">
        <f t="shared" si="4"/>
        <v>0</v>
      </c>
      <c r="G22" s="4195"/>
      <c r="H22" s="9" t="s">
        <v>27</v>
      </c>
      <c r="I22" s="43">
        <f>IF($B$8=12,B22,IF($B$8=4,0,IF($B$8=6,B17,IF($B$8=3,0,0))))</f>
        <v>0</v>
      </c>
      <c r="J22" s="43">
        <f>IF($B$8=12,C22,IF($B$8=4,0,IF($B$8=6,C17,IF($B$8=3,0,0))))</f>
        <v>0</v>
      </c>
      <c r="K22" s="68">
        <f>IF($B$8=12,D22,IF($B$8=4,0,IF($B$8=6,D17,IF($B$8=3,0,0))))</f>
        <v>0</v>
      </c>
      <c r="M22" s="4195"/>
      <c r="N22" s="9" t="s">
        <v>27</v>
      </c>
      <c r="O22" s="43">
        <f t="shared" si="1"/>
        <v>0</v>
      </c>
      <c r="P22" s="43">
        <f t="shared" si="1"/>
        <v>0</v>
      </c>
      <c r="Q22" s="44">
        <f t="shared" si="1"/>
        <v>0</v>
      </c>
      <c r="T22" s="234"/>
      <c r="V22" s="51"/>
      <c r="W22" s="51"/>
      <c r="X22" s="51"/>
    </row>
    <row r="23" spans="1:24" ht="15.75" customHeight="1" thickBot="1">
      <c r="A23" s="24">
        <v>12</v>
      </c>
      <c r="B23" s="70">
        <f t="shared" si="0"/>
        <v>0</v>
      </c>
      <c r="C23" s="139">
        <f t="shared" si="2"/>
        <v>0</v>
      </c>
      <c r="D23" s="70">
        <f t="shared" si="3"/>
        <v>0</v>
      </c>
      <c r="E23" s="75">
        <f t="shared" si="4"/>
        <v>0</v>
      </c>
      <c r="G23" s="4196"/>
      <c r="H23" s="37" t="s">
        <v>28</v>
      </c>
      <c r="I23" s="70">
        <f>IF($B$8=12,B23,IF($B$8=4,0,IF($B$8=6,0,IF($B$8=3,0,0))))</f>
        <v>0</v>
      </c>
      <c r="J23" s="70">
        <f>IF($B$8=12,C23,IF($B$8=4,0,IF($B$8=6,0,IF($B$8=3,0,0))))</f>
        <v>0</v>
      </c>
      <c r="K23" s="72">
        <f>IF($B$8=12,D23,IF($B$8=4,0,IF($B$8=6,0,IF($B$8=3,0,0))))</f>
        <v>0</v>
      </c>
      <c r="M23" s="4196"/>
      <c r="N23" s="35" t="s">
        <v>28</v>
      </c>
      <c r="O23" s="45">
        <f t="shared" si="1"/>
        <v>0</v>
      </c>
      <c r="P23" s="45">
        <f t="shared" si="1"/>
        <v>0</v>
      </c>
      <c r="Q23" s="46">
        <f t="shared" si="1"/>
        <v>0</v>
      </c>
      <c r="T23" s="234"/>
      <c r="V23" s="51"/>
      <c r="W23" s="51"/>
      <c r="X23" s="51"/>
    </row>
    <row r="24" spans="1:24" ht="15.75" customHeight="1">
      <c r="A24" s="23">
        <v>13</v>
      </c>
      <c r="B24" s="43">
        <f t="shared" si="0"/>
        <v>0</v>
      </c>
      <c r="C24" s="123">
        <f t="shared" si="2"/>
        <v>0</v>
      </c>
      <c r="D24" s="43">
        <f t="shared" si="3"/>
        <v>0</v>
      </c>
      <c r="E24" s="68">
        <f t="shared" si="4"/>
        <v>0</v>
      </c>
      <c r="G24" s="4194">
        <f>'Aux 4.1.1Crédito Inicial 1'!G24</f>
        <v>1</v>
      </c>
      <c r="H24" s="22" t="s">
        <v>17</v>
      </c>
      <c r="I24" s="43">
        <f>IF($B$8=12,B24,IF($B$8=4,B16,IF($B$8=6,B18,IF($B$8=3,B15,IF($B$8=2,B14,IF($B$8,B13,0))))))</f>
        <v>0</v>
      </c>
      <c r="J24" s="43">
        <f>IF($B$8=12,C24,IF($B$8=4,C16,IF($B$8=6,C18,IF($B$8=3,C15,IF($B$8=2,C14,IF($B$8,C13,0))))))</f>
        <v>0</v>
      </c>
      <c r="K24" s="68">
        <f>IF($B$8=12,D24,IF($B$8=4,D16,IF($B$8=6,D18,IF($B$8=3,D15,IF($B$8=2,D14,IF($B$8,D13,0))))))</f>
        <v>0</v>
      </c>
      <c r="M24" s="4194">
        <f>G24</f>
        <v>1</v>
      </c>
      <c r="N24" s="9" t="s">
        <v>17</v>
      </c>
      <c r="O24" s="43">
        <f t="shared" ref="O24:Q35" si="5">IF($I$6=2,I12,IF($I$6=1,I24,0))</f>
        <v>0</v>
      </c>
      <c r="P24" s="43">
        <f t="shared" si="5"/>
        <v>0</v>
      </c>
      <c r="Q24" s="44">
        <f t="shared" si="5"/>
        <v>0</v>
      </c>
      <c r="T24" s="234"/>
      <c r="V24" s="51"/>
      <c r="W24" s="51"/>
      <c r="X24" s="51"/>
    </row>
    <row r="25" spans="1:24" ht="15.75" customHeight="1">
      <c r="A25" s="23">
        <v>14</v>
      </c>
      <c r="B25" s="43">
        <f t="shared" si="0"/>
        <v>0</v>
      </c>
      <c r="C25" s="123">
        <f t="shared" si="2"/>
        <v>0</v>
      </c>
      <c r="D25" s="43">
        <f t="shared" si="3"/>
        <v>0</v>
      </c>
      <c r="E25" s="68">
        <f t="shared" si="4"/>
        <v>0</v>
      </c>
      <c r="G25" s="4195"/>
      <c r="H25" s="22" t="s">
        <v>18</v>
      </c>
      <c r="I25" s="43">
        <f>IF($B$8=12,B25,0)</f>
        <v>0</v>
      </c>
      <c r="J25" s="43">
        <f>IF($B$8=12,C25,0)</f>
        <v>0</v>
      </c>
      <c r="K25" s="68">
        <f>IF($B$8=12,D25,0)</f>
        <v>0</v>
      </c>
      <c r="M25" s="4195"/>
      <c r="N25" s="9" t="s">
        <v>18</v>
      </c>
      <c r="O25" s="43">
        <f t="shared" si="5"/>
        <v>0</v>
      </c>
      <c r="P25" s="43">
        <f t="shared" si="5"/>
        <v>0</v>
      </c>
      <c r="Q25" s="44">
        <f t="shared" si="5"/>
        <v>0</v>
      </c>
      <c r="T25" s="234"/>
      <c r="V25" s="51"/>
      <c r="W25" s="51"/>
      <c r="X25" s="51"/>
    </row>
    <row r="26" spans="1:24" ht="15.75" customHeight="1">
      <c r="A26" s="23">
        <v>15</v>
      </c>
      <c r="B26" s="43">
        <f t="shared" si="0"/>
        <v>0</v>
      </c>
      <c r="C26" s="123">
        <f t="shared" si="2"/>
        <v>0</v>
      </c>
      <c r="D26" s="43">
        <f t="shared" si="3"/>
        <v>0</v>
      </c>
      <c r="E26" s="68">
        <f t="shared" si="4"/>
        <v>0</v>
      </c>
      <c r="G26" s="4195"/>
      <c r="H26" s="22" t="s">
        <v>19</v>
      </c>
      <c r="I26" s="43">
        <f>IF($B$8=12,B26,IF($B$8=6,B19,0))</f>
        <v>0</v>
      </c>
      <c r="J26" s="43">
        <f>IF($B$8=12,C26,IF($B$8=6,C19,0))</f>
        <v>0</v>
      </c>
      <c r="K26" s="68">
        <f>IF($B$8=12,D26,IF($B$8=6,D19,0))</f>
        <v>0</v>
      </c>
      <c r="M26" s="4195"/>
      <c r="N26" s="9" t="s">
        <v>19</v>
      </c>
      <c r="O26" s="43">
        <f t="shared" si="5"/>
        <v>0</v>
      </c>
      <c r="P26" s="43">
        <f t="shared" si="5"/>
        <v>0</v>
      </c>
      <c r="Q26" s="44">
        <f t="shared" si="5"/>
        <v>0</v>
      </c>
      <c r="T26" s="234"/>
      <c r="V26" s="51"/>
      <c r="W26" s="51"/>
      <c r="X26" s="51"/>
    </row>
    <row r="27" spans="1:24" ht="15.75" customHeight="1">
      <c r="A27" s="23">
        <v>16</v>
      </c>
      <c r="B27" s="43">
        <f t="shared" si="0"/>
        <v>0</v>
      </c>
      <c r="C27" s="123">
        <f t="shared" si="2"/>
        <v>0</v>
      </c>
      <c r="D27" s="43">
        <f t="shared" si="3"/>
        <v>0</v>
      </c>
      <c r="E27" s="68">
        <f t="shared" si="4"/>
        <v>0</v>
      </c>
      <c r="G27" s="4195"/>
      <c r="H27" s="22" t="s">
        <v>20</v>
      </c>
      <c r="I27" s="43">
        <f>IF($B$8=12,B27,IF($B$8=4,B17,IF($B$8=6,0,IF($B$8=3,0,0))))</f>
        <v>0</v>
      </c>
      <c r="J27" s="43">
        <f>IF($B$8=12,C27,IF($B$8=4,C17,IF($B$8=6,0,IF($B$8=3,0,0))))</f>
        <v>0</v>
      </c>
      <c r="K27" s="68">
        <f>IF($B$8=12,D27,IF($B$8=4,D17,IF($B$8=6,0,IF($B$8=3,0,0))))</f>
        <v>0</v>
      </c>
      <c r="M27" s="4195"/>
      <c r="N27" s="9" t="s">
        <v>20</v>
      </c>
      <c r="O27" s="43">
        <f t="shared" si="5"/>
        <v>0</v>
      </c>
      <c r="P27" s="43">
        <f t="shared" si="5"/>
        <v>0</v>
      </c>
      <c r="Q27" s="44">
        <f t="shared" si="5"/>
        <v>0</v>
      </c>
      <c r="T27" s="234"/>
      <c r="V27" s="51"/>
      <c r="W27" s="51"/>
      <c r="X27" s="51"/>
    </row>
    <row r="28" spans="1:24" ht="15.75" customHeight="1">
      <c r="A28" s="23">
        <v>17</v>
      </c>
      <c r="B28" s="43">
        <f t="shared" si="0"/>
        <v>0</v>
      </c>
      <c r="C28" s="123">
        <f t="shared" si="2"/>
        <v>0</v>
      </c>
      <c r="D28" s="43">
        <f t="shared" si="3"/>
        <v>0</v>
      </c>
      <c r="E28" s="68">
        <f t="shared" si="4"/>
        <v>0</v>
      </c>
      <c r="G28" s="4195"/>
      <c r="H28" s="22" t="s">
        <v>21</v>
      </c>
      <c r="I28" s="43">
        <f>IF($B$8=12,B28,IF($B$8=4,0,IF($B$8=6,B20,IF($B$8=3,B16,0))))</f>
        <v>0</v>
      </c>
      <c r="J28" s="43">
        <f>IF($B$8=12,C28,IF($B$8=4,0,IF($B$8=6,C20,IF($B$8=3,C16,0))))</f>
        <v>0</v>
      </c>
      <c r="K28" s="68">
        <f>IF($B$8=12,D28,IF($B$8=4,0,IF($B$8=6,D20,IF($B$8=3,D16,0))))</f>
        <v>0</v>
      </c>
      <c r="M28" s="4195"/>
      <c r="N28" s="9" t="s">
        <v>21</v>
      </c>
      <c r="O28" s="43">
        <f t="shared" si="5"/>
        <v>0</v>
      </c>
      <c r="P28" s="43">
        <f t="shared" si="5"/>
        <v>0</v>
      </c>
      <c r="Q28" s="44">
        <f t="shared" si="5"/>
        <v>0</v>
      </c>
      <c r="T28" s="234"/>
      <c r="V28" s="51"/>
      <c r="W28" s="51"/>
      <c r="X28" s="51"/>
    </row>
    <row r="29" spans="1:24" ht="15.75" customHeight="1">
      <c r="A29" s="23">
        <v>18</v>
      </c>
      <c r="B29" s="43">
        <f t="shared" si="0"/>
        <v>0</v>
      </c>
      <c r="C29" s="123">
        <f t="shared" si="2"/>
        <v>0</v>
      </c>
      <c r="D29" s="43">
        <f t="shared" si="3"/>
        <v>0</v>
      </c>
      <c r="E29" s="68">
        <f t="shared" si="4"/>
        <v>0</v>
      </c>
      <c r="G29" s="4195"/>
      <c r="H29" s="22" t="s">
        <v>22</v>
      </c>
      <c r="I29" s="43">
        <f>IF($B$8=12,B29,IF($B$8=4,0,IF($B$8=6,0,IF($B$8=3,0,0))))</f>
        <v>0</v>
      </c>
      <c r="J29" s="43">
        <f>IF($B$8=12,C29,IF($B$8=4,0,IF($B$8=6,0,IF($B$8=3,0,0))))</f>
        <v>0</v>
      </c>
      <c r="K29" s="68">
        <f>IF($B$8=12,D29,IF($B$8=4,0,IF($B$8=6,0,IF($B$8=3,0,0))))</f>
        <v>0</v>
      </c>
      <c r="M29" s="4195"/>
      <c r="N29" s="9" t="s">
        <v>22</v>
      </c>
      <c r="O29" s="43">
        <f t="shared" si="5"/>
        <v>0</v>
      </c>
      <c r="P29" s="43">
        <f t="shared" si="5"/>
        <v>0</v>
      </c>
      <c r="Q29" s="44">
        <f t="shared" si="5"/>
        <v>0</v>
      </c>
      <c r="T29" s="234"/>
      <c r="V29" s="51"/>
      <c r="W29" s="51"/>
      <c r="X29" s="51"/>
    </row>
    <row r="30" spans="1:24" ht="15.75" customHeight="1">
      <c r="A30" s="23">
        <v>19</v>
      </c>
      <c r="B30" s="43">
        <f t="shared" si="0"/>
        <v>0</v>
      </c>
      <c r="C30" s="123">
        <f t="shared" si="2"/>
        <v>0</v>
      </c>
      <c r="D30" s="43">
        <f t="shared" si="3"/>
        <v>0</v>
      </c>
      <c r="E30" s="68">
        <f t="shared" si="4"/>
        <v>0</v>
      </c>
      <c r="G30" s="4195"/>
      <c r="H30" s="22" t="s">
        <v>23</v>
      </c>
      <c r="I30" s="43">
        <f>IF($B$8=12,B30,IF($B$8=4,B18,IF($B$8=6,B21,IF($B$8=3,0,IF($B$8=2,B15,0)))))</f>
        <v>0</v>
      </c>
      <c r="J30" s="43">
        <f>IF($B$8=12,C30,IF($B$8=4,C18,IF($B$8=6,C21,IF($B$8=3,0,IF($B$8=2,C15,0)))))</f>
        <v>0</v>
      </c>
      <c r="K30" s="68">
        <f>IF($B$8=12,D30,IF($B$8=4,D18,IF($B$8=6,D21,IF($B$8=3,0,IF($B$8=2,D15,0)))))</f>
        <v>0</v>
      </c>
      <c r="M30" s="4195"/>
      <c r="N30" s="9" t="s">
        <v>23</v>
      </c>
      <c r="O30" s="43">
        <f t="shared" si="5"/>
        <v>0</v>
      </c>
      <c r="P30" s="43">
        <f t="shared" si="5"/>
        <v>0</v>
      </c>
      <c r="Q30" s="44">
        <f t="shared" si="5"/>
        <v>0</v>
      </c>
      <c r="T30" s="234"/>
      <c r="V30" s="51"/>
      <c r="W30" s="51"/>
      <c r="X30" s="51"/>
    </row>
    <row r="31" spans="1:24" ht="15.75" customHeight="1">
      <c r="A31" s="23">
        <v>20</v>
      </c>
      <c r="B31" s="43">
        <f t="shared" si="0"/>
        <v>0</v>
      </c>
      <c r="C31" s="123">
        <f t="shared" si="2"/>
        <v>0</v>
      </c>
      <c r="D31" s="43">
        <f t="shared" si="3"/>
        <v>0</v>
      </c>
      <c r="E31" s="68">
        <f t="shared" si="4"/>
        <v>0</v>
      </c>
      <c r="G31" s="4195"/>
      <c r="H31" s="22" t="s">
        <v>24</v>
      </c>
      <c r="I31" s="43">
        <f>IF($B$8=12,B31,IF($B$8=4,0,IF($B$8=6,0,IF($B$8=3,0,0))))</f>
        <v>0</v>
      </c>
      <c r="J31" s="43">
        <f>IF($B$8=12,C31,IF($B$8=4,0,IF($B$8=6,0,IF($B$8=3,0,0))))</f>
        <v>0</v>
      </c>
      <c r="K31" s="68">
        <f>IF($B$8=12,D31,IF($B$8=4,0,IF($B$8=6,0,IF($B$8=3,0,0))))</f>
        <v>0</v>
      </c>
      <c r="M31" s="4195"/>
      <c r="N31" s="9" t="s">
        <v>24</v>
      </c>
      <c r="O31" s="43">
        <f t="shared" si="5"/>
        <v>0</v>
      </c>
      <c r="P31" s="43">
        <f t="shared" si="5"/>
        <v>0</v>
      </c>
      <c r="Q31" s="44">
        <f t="shared" si="5"/>
        <v>0</v>
      </c>
      <c r="T31" s="234"/>
      <c r="V31" s="51"/>
      <c r="W31" s="51"/>
      <c r="X31" s="51"/>
    </row>
    <row r="32" spans="1:24" ht="15.75" customHeight="1">
      <c r="A32" s="23">
        <v>21</v>
      </c>
      <c r="B32" s="43">
        <f t="shared" si="0"/>
        <v>0</v>
      </c>
      <c r="C32" s="123">
        <f t="shared" si="2"/>
        <v>0</v>
      </c>
      <c r="D32" s="43">
        <f t="shared" si="3"/>
        <v>0</v>
      </c>
      <c r="E32" s="68">
        <f t="shared" si="4"/>
        <v>0</v>
      </c>
      <c r="G32" s="4195"/>
      <c r="H32" s="22" t="s">
        <v>25</v>
      </c>
      <c r="I32" s="43">
        <f>IF($B$8=12,B32,IF($B$8=4,0,IF($B$8=6,B22,IF($B$8=3,B17,0))))</f>
        <v>0</v>
      </c>
      <c r="J32" s="43">
        <f>IF($B$8=12,C32,IF($B$8=4,0,IF($B$8=6,C22,IF($B$8=3,C17,0))))</f>
        <v>0</v>
      </c>
      <c r="K32" s="68">
        <f>IF($B$8=12,D32,IF($B$8=4,0,IF($B$8=6,D22,IF($B$8=3,D17,0))))</f>
        <v>0</v>
      </c>
      <c r="M32" s="4195"/>
      <c r="N32" s="9" t="s">
        <v>25</v>
      </c>
      <c r="O32" s="43">
        <f t="shared" si="5"/>
        <v>0</v>
      </c>
      <c r="P32" s="43">
        <f t="shared" si="5"/>
        <v>0</v>
      </c>
      <c r="Q32" s="44">
        <f t="shared" si="5"/>
        <v>0</v>
      </c>
      <c r="T32" s="234"/>
      <c r="V32" s="51"/>
      <c r="W32" s="51"/>
      <c r="X32" s="51"/>
    </row>
    <row r="33" spans="1:24" ht="15.75" customHeight="1">
      <c r="A33" s="23">
        <v>22</v>
      </c>
      <c r="B33" s="43">
        <f t="shared" si="0"/>
        <v>0</v>
      </c>
      <c r="C33" s="123">
        <f t="shared" si="2"/>
        <v>0</v>
      </c>
      <c r="D33" s="43">
        <f t="shared" si="3"/>
        <v>0</v>
      </c>
      <c r="E33" s="68">
        <f t="shared" si="4"/>
        <v>0</v>
      </c>
      <c r="G33" s="4195"/>
      <c r="H33" s="22" t="s">
        <v>26</v>
      </c>
      <c r="I33" s="43">
        <f>IF($B$8=12,B33,IF($B$8=4,B19,IF($B$8=6,0,IF($B$8=3,0,0))))</f>
        <v>0</v>
      </c>
      <c r="J33" s="43">
        <f>IF($B$8=12,C33,IF($B$8=4,C19,IF($B$8=6,0,IF($B$8=3,0,0))))</f>
        <v>0</v>
      </c>
      <c r="K33" s="68">
        <f>IF($B$8=12,D33,IF($B$8=4,D19,IF($B$8=6,0,IF($B$8=3,0,0))))</f>
        <v>0</v>
      </c>
      <c r="M33" s="4195"/>
      <c r="N33" s="9" t="s">
        <v>26</v>
      </c>
      <c r="O33" s="43">
        <f t="shared" si="5"/>
        <v>0</v>
      </c>
      <c r="P33" s="43">
        <f t="shared" si="5"/>
        <v>0</v>
      </c>
      <c r="Q33" s="44">
        <f t="shared" si="5"/>
        <v>0</v>
      </c>
      <c r="T33" s="234"/>
      <c r="V33" s="51"/>
      <c r="W33" s="51"/>
      <c r="X33" s="51"/>
    </row>
    <row r="34" spans="1:24" ht="15.75" customHeight="1">
      <c r="A34" s="23">
        <v>23</v>
      </c>
      <c r="B34" s="43">
        <f t="shared" si="0"/>
        <v>0</v>
      </c>
      <c r="C34" s="123">
        <f t="shared" si="2"/>
        <v>0</v>
      </c>
      <c r="D34" s="43">
        <f t="shared" si="3"/>
        <v>0</v>
      </c>
      <c r="E34" s="68">
        <f t="shared" si="4"/>
        <v>0</v>
      </c>
      <c r="G34" s="4195"/>
      <c r="H34" s="22" t="s">
        <v>27</v>
      </c>
      <c r="I34" s="43">
        <f>IF($B$8=12,B34,IF($B$8=4,0,IF($B$8=6,B23,IF($B$8=3,0,0))))</f>
        <v>0</v>
      </c>
      <c r="J34" s="43">
        <f>IF($B$8=12,C34,IF($B$8=4,0,IF($B$8=6,C23,IF($B$8=3,0,0))))</f>
        <v>0</v>
      </c>
      <c r="K34" s="68">
        <f>IF($B$8=12,D34,IF($B$8=4,0,IF($B$8=6,D23,IF($B$8=3,0,0))))</f>
        <v>0</v>
      </c>
      <c r="M34" s="4195"/>
      <c r="N34" s="9" t="s">
        <v>27</v>
      </c>
      <c r="O34" s="43">
        <f t="shared" si="5"/>
        <v>0</v>
      </c>
      <c r="P34" s="43">
        <f t="shared" si="5"/>
        <v>0</v>
      </c>
      <c r="Q34" s="44">
        <f t="shared" si="5"/>
        <v>0</v>
      </c>
      <c r="T34" s="234"/>
      <c r="V34" s="51"/>
      <c r="W34" s="51"/>
      <c r="X34" s="51"/>
    </row>
    <row r="35" spans="1:24" ht="15.75" customHeight="1" thickBot="1">
      <c r="A35" s="24">
        <v>24</v>
      </c>
      <c r="B35" s="70">
        <f t="shared" si="0"/>
        <v>0</v>
      </c>
      <c r="C35" s="139">
        <f t="shared" si="2"/>
        <v>0</v>
      </c>
      <c r="D35" s="70">
        <f t="shared" si="3"/>
        <v>0</v>
      </c>
      <c r="E35" s="75">
        <f t="shared" si="4"/>
        <v>0</v>
      </c>
      <c r="G35" s="4196"/>
      <c r="H35" s="25" t="s">
        <v>28</v>
      </c>
      <c r="I35" s="70">
        <f>IF($B$8=12,B35,IF($B$8=4,0,IF($B$8=6,0,IF($B$8=3,0,0))))</f>
        <v>0</v>
      </c>
      <c r="J35" s="70">
        <f>IF($B$8=12,C35,IF($B$8=4,0,IF($B$8=6,0,IF($B$8=3,0,0))))</f>
        <v>0</v>
      </c>
      <c r="K35" s="72">
        <f>IF($B$8=12,D35,IF($B$8=4,0,IF($B$8=6,0,IF($B$8=3,0,0))))</f>
        <v>0</v>
      </c>
      <c r="M35" s="4196"/>
      <c r="N35" s="35" t="s">
        <v>28</v>
      </c>
      <c r="O35" s="43">
        <f t="shared" si="5"/>
        <v>0</v>
      </c>
      <c r="P35" s="43">
        <f t="shared" si="5"/>
        <v>0</v>
      </c>
      <c r="Q35" s="46">
        <f t="shared" si="5"/>
        <v>0</v>
      </c>
      <c r="T35" s="234"/>
      <c r="V35" s="51"/>
      <c r="W35" s="51"/>
      <c r="X35" s="51"/>
    </row>
    <row r="36" spans="1:24" ht="15.75" customHeight="1">
      <c r="A36" s="23">
        <v>25</v>
      </c>
      <c r="B36" s="43">
        <f t="shared" si="0"/>
        <v>0</v>
      </c>
      <c r="C36" s="123">
        <f t="shared" si="2"/>
        <v>0</v>
      </c>
      <c r="D36" s="43">
        <f t="shared" si="3"/>
        <v>0</v>
      </c>
      <c r="E36" s="68">
        <f t="shared" si="4"/>
        <v>0</v>
      </c>
      <c r="G36" s="4194">
        <f>'Aux 4.1.1Crédito Inicial 1'!G36</f>
        <v>2</v>
      </c>
      <c r="H36" s="22" t="s">
        <v>17</v>
      </c>
      <c r="I36" s="43">
        <f>IF($B$8=12,B36,IF($B$8=4,B20,IF($B$8=6,B24,IF($B$8=3,B18,IF($B$8=2,B16,IF($B$8=1,B14,0))))))</f>
        <v>0</v>
      </c>
      <c r="J36" s="43">
        <f>IF($B$8=12,C36,IF($B$8=4,C20,IF($B$8=6,C24,IF($B$8=3,C18,IF($B$8=2,C16,IF($B$8=1,C14,0))))))</f>
        <v>0</v>
      </c>
      <c r="K36" s="68">
        <f>IF($B$8=12,D36,IF($B$8=4,D20,IF($B$8=6,D24,IF($B$8=3,D18,IF($B$8=2,D16,IF($B$8=1,D14,0))))))</f>
        <v>0</v>
      </c>
      <c r="M36" s="4194">
        <f>G36</f>
        <v>2</v>
      </c>
      <c r="N36" s="9" t="s">
        <v>17</v>
      </c>
      <c r="O36" s="76">
        <f t="shared" ref="O36:Q47" si="6">IF($I$6=3,I12,IF($I$6=2,I24,IF($I$6=1,I36,0)))</f>
        <v>0</v>
      </c>
      <c r="P36" s="76">
        <f t="shared" si="6"/>
        <v>0</v>
      </c>
      <c r="Q36" s="77">
        <f t="shared" si="6"/>
        <v>0</v>
      </c>
      <c r="T36" s="234"/>
      <c r="V36" s="51"/>
      <c r="W36" s="51"/>
      <c r="X36" s="51"/>
    </row>
    <row r="37" spans="1:24" ht="15.75" customHeight="1">
      <c r="A37" s="23">
        <v>26</v>
      </c>
      <c r="B37" s="43">
        <f t="shared" si="0"/>
        <v>0</v>
      </c>
      <c r="C37" s="123">
        <f t="shared" si="2"/>
        <v>0</v>
      </c>
      <c r="D37" s="43">
        <f t="shared" si="3"/>
        <v>0</v>
      </c>
      <c r="E37" s="68">
        <f t="shared" si="4"/>
        <v>0</v>
      </c>
      <c r="G37" s="4195"/>
      <c r="H37" s="22" t="s">
        <v>18</v>
      </c>
      <c r="I37" s="43">
        <f>IF($B$8=12,B37,0)</f>
        <v>0</v>
      </c>
      <c r="J37" s="43">
        <f>IF($B$8=12,C37,0)</f>
        <v>0</v>
      </c>
      <c r="K37" s="68">
        <f>IF($B$8=12,D37,0)</f>
        <v>0</v>
      </c>
      <c r="M37" s="4195"/>
      <c r="N37" s="9" t="s">
        <v>18</v>
      </c>
      <c r="O37" s="43">
        <f t="shared" si="6"/>
        <v>0</v>
      </c>
      <c r="P37" s="43">
        <f t="shared" si="6"/>
        <v>0</v>
      </c>
      <c r="Q37" s="44">
        <f t="shared" si="6"/>
        <v>0</v>
      </c>
      <c r="T37" s="234"/>
      <c r="V37" s="51"/>
      <c r="W37" s="51"/>
      <c r="X37" s="51"/>
    </row>
    <row r="38" spans="1:24" ht="15.75" customHeight="1">
      <c r="A38" s="23">
        <v>27</v>
      </c>
      <c r="B38" s="43">
        <f t="shared" si="0"/>
        <v>0</v>
      </c>
      <c r="C38" s="123">
        <f t="shared" si="2"/>
        <v>0</v>
      </c>
      <c r="D38" s="43">
        <f t="shared" si="3"/>
        <v>0</v>
      </c>
      <c r="E38" s="68">
        <f t="shared" si="4"/>
        <v>0</v>
      </c>
      <c r="G38" s="4195"/>
      <c r="H38" s="22" t="s">
        <v>19</v>
      </c>
      <c r="I38" s="43">
        <f>IF($B$8=12,B38,IF($B$8=6,B25,0))</f>
        <v>0</v>
      </c>
      <c r="J38" s="43">
        <f>IF($B$8=12,C38,IF($B$8=6,C25,0))</f>
        <v>0</v>
      </c>
      <c r="K38" s="68">
        <f>IF($B$8=12,D38,IF($B$8=6,D25,0))</f>
        <v>0</v>
      </c>
      <c r="M38" s="4195"/>
      <c r="N38" s="9" t="s">
        <v>19</v>
      </c>
      <c r="O38" s="43">
        <f t="shared" si="6"/>
        <v>0</v>
      </c>
      <c r="P38" s="43">
        <f t="shared" si="6"/>
        <v>0</v>
      </c>
      <c r="Q38" s="44">
        <f t="shared" si="6"/>
        <v>0</v>
      </c>
      <c r="T38" s="234"/>
      <c r="V38" s="51"/>
      <c r="W38" s="51"/>
      <c r="X38" s="51"/>
    </row>
    <row r="39" spans="1:24" ht="15.75" customHeight="1">
      <c r="A39" s="23">
        <v>28</v>
      </c>
      <c r="B39" s="43">
        <f t="shared" si="0"/>
        <v>0</v>
      </c>
      <c r="C39" s="123">
        <f t="shared" si="2"/>
        <v>0</v>
      </c>
      <c r="D39" s="43">
        <f t="shared" si="3"/>
        <v>0</v>
      </c>
      <c r="E39" s="68">
        <f t="shared" si="4"/>
        <v>0</v>
      </c>
      <c r="G39" s="4195"/>
      <c r="H39" s="22" t="s">
        <v>20</v>
      </c>
      <c r="I39" s="43">
        <f>IF($B$8=12,B39,IF($B$8=4,B21,IF($B$8=6,0,IF($B$8=3,0,0))))</f>
        <v>0</v>
      </c>
      <c r="J39" s="43">
        <f>IF($B$8=12,C39,IF($B$8=4,C21,IF($B$8=6,0,IF($B$8=3,0,0))))</f>
        <v>0</v>
      </c>
      <c r="K39" s="68">
        <f>IF($B$8=12,D39,IF($B$8=4,D21,IF($B$8=6,0,IF($B$8=3,0,0))))</f>
        <v>0</v>
      </c>
      <c r="M39" s="4195"/>
      <c r="N39" s="9" t="s">
        <v>20</v>
      </c>
      <c r="O39" s="43">
        <f t="shared" si="6"/>
        <v>0</v>
      </c>
      <c r="P39" s="43">
        <f t="shared" si="6"/>
        <v>0</v>
      </c>
      <c r="Q39" s="44">
        <f t="shared" si="6"/>
        <v>0</v>
      </c>
      <c r="T39" s="234"/>
      <c r="V39" s="51"/>
      <c r="W39" s="51"/>
      <c r="X39" s="51"/>
    </row>
    <row r="40" spans="1:24" ht="15.75" customHeight="1">
      <c r="A40" s="23">
        <v>29</v>
      </c>
      <c r="B40" s="43">
        <f t="shared" si="0"/>
        <v>0</v>
      </c>
      <c r="C40" s="123">
        <f t="shared" si="2"/>
        <v>0</v>
      </c>
      <c r="D40" s="43">
        <f t="shared" si="3"/>
        <v>0</v>
      </c>
      <c r="E40" s="68">
        <f t="shared" si="4"/>
        <v>0</v>
      </c>
      <c r="G40" s="4195"/>
      <c r="H40" s="22" t="s">
        <v>21</v>
      </c>
      <c r="I40" s="43">
        <f>IF($B$8=12,B40,IF($B$8=4,0,IF($B$8=6,B26,IF($B$8=3,B19,0))))</f>
        <v>0</v>
      </c>
      <c r="J40" s="43">
        <f>IF($B$8=12,C40,IF($B$8=4,0,IF($B$8=6,C26,IF($B$8=3,C19,0))))</f>
        <v>0</v>
      </c>
      <c r="K40" s="68">
        <f>IF($B$8=12,D40,IF($B$8=4,0,IF($B$8=6,D26,IF($B$8=3,D19,0))))</f>
        <v>0</v>
      </c>
      <c r="M40" s="4195"/>
      <c r="N40" s="9" t="s">
        <v>21</v>
      </c>
      <c r="O40" s="43">
        <f t="shared" si="6"/>
        <v>0</v>
      </c>
      <c r="P40" s="43">
        <f t="shared" si="6"/>
        <v>0</v>
      </c>
      <c r="Q40" s="44">
        <f t="shared" si="6"/>
        <v>0</v>
      </c>
      <c r="T40" s="234"/>
      <c r="V40" s="51"/>
      <c r="W40" s="51"/>
      <c r="X40" s="51"/>
    </row>
    <row r="41" spans="1:24" ht="15.75" customHeight="1">
      <c r="A41" s="23">
        <v>30</v>
      </c>
      <c r="B41" s="43">
        <f t="shared" si="0"/>
        <v>0</v>
      </c>
      <c r="C41" s="123">
        <f t="shared" si="2"/>
        <v>0</v>
      </c>
      <c r="D41" s="43">
        <f t="shared" si="3"/>
        <v>0</v>
      </c>
      <c r="E41" s="68">
        <f t="shared" si="4"/>
        <v>0</v>
      </c>
      <c r="G41" s="4195"/>
      <c r="H41" s="22" t="s">
        <v>22</v>
      </c>
      <c r="I41" s="43">
        <f>IF($B$8=12,B41,IF($B$8=4,0,IF($B$8=6,0,IF($B$8=3,0,0))))</f>
        <v>0</v>
      </c>
      <c r="J41" s="43">
        <f>IF($B$8=12,C41,IF($B$8=4,0,IF($B$8=6,0,IF($B$8=3,0,0))))</f>
        <v>0</v>
      </c>
      <c r="K41" s="68">
        <f>IF($B$8=12,D41,IF($B$8=4,0,IF($B$8=6,0,IF($B$8=3,0,0))))</f>
        <v>0</v>
      </c>
      <c r="M41" s="4195"/>
      <c r="N41" s="9" t="s">
        <v>22</v>
      </c>
      <c r="O41" s="43">
        <f t="shared" si="6"/>
        <v>0</v>
      </c>
      <c r="P41" s="43">
        <f t="shared" si="6"/>
        <v>0</v>
      </c>
      <c r="Q41" s="44">
        <f t="shared" si="6"/>
        <v>0</v>
      </c>
      <c r="T41" s="234"/>
      <c r="V41" s="51"/>
      <c r="W41" s="51"/>
      <c r="X41" s="51"/>
    </row>
    <row r="42" spans="1:24" ht="15.75" customHeight="1">
      <c r="A42" s="23">
        <v>31</v>
      </c>
      <c r="B42" s="43">
        <f t="shared" si="0"/>
        <v>0</v>
      </c>
      <c r="C42" s="123">
        <f t="shared" si="2"/>
        <v>0</v>
      </c>
      <c r="D42" s="43">
        <f t="shared" si="3"/>
        <v>0</v>
      </c>
      <c r="E42" s="68">
        <f t="shared" si="4"/>
        <v>0</v>
      </c>
      <c r="G42" s="4195"/>
      <c r="H42" s="22" t="s">
        <v>23</v>
      </c>
      <c r="I42" s="43">
        <f>IF($B$8=12,B42,IF($B$8=4,B22,IF($B$8=6,B27,IF($B$8=3,0,IF($B$8=2,B17,0)))))</f>
        <v>0</v>
      </c>
      <c r="J42" s="43">
        <f>IF($B$8=12,C42,IF($B$8=4,C22,IF($B$8=6,C27,IF($B$8=3,0,IF($B$8=2,C17,0)))))</f>
        <v>0</v>
      </c>
      <c r="K42" s="68">
        <f>IF($B$8=12,D42,IF($B$8=4,D22,IF($B$8=6,D27,IF($B$8=3,0,IF($B$8=2,D17,0)))))</f>
        <v>0</v>
      </c>
      <c r="M42" s="4195"/>
      <c r="N42" s="9" t="s">
        <v>23</v>
      </c>
      <c r="O42" s="43">
        <f t="shared" si="6"/>
        <v>0</v>
      </c>
      <c r="P42" s="43">
        <f t="shared" si="6"/>
        <v>0</v>
      </c>
      <c r="Q42" s="44">
        <f t="shared" si="6"/>
        <v>0</v>
      </c>
      <c r="T42" s="234"/>
      <c r="V42" s="51"/>
      <c r="W42" s="51"/>
      <c r="X42" s="51"/>
    </row>
    <row r="43" spans="1:24" ht="15.75" customHeight="1">
      <c r="A43" s="23">
        <v>32</v>
      </c>
      <c r="B43" s="43">
        <f t="shared" si="0"/>
        <v>0</v>
      </c>
      <c r="C43" s="123">
        <f t="shared" si="2"/>
        <v>0</v>
      </c>
      <c r="D43" s="43">
        <f t="shared" si="3"/>
        <v>0</v>
      </c>
      <c r="E43" s="68">
        <f t="shared" si="4"/>
        <v>0</v>
      </c>
      <c r="G43" s="4195"/>
      <c r="H43" s="22" t="s">
        <v>24</v>
      </c>
      <c r="I43" s="43">
        <f>IF($B$8=12,B43,IF($B$8=4,0,IF($B$8=6,0,IF($B$8=3,0,0))))</f>
        <v>0</v>
      </c>
      <c r="J43" s="43">
        <f>IF($B$8=12,C43,IF($B$8=4,0,IF($B$8=6,0,IF($B$8=3,0,0))))</f>
        <v>0</v>
      </c>
      <c r="K43" s="68">
        <f>IF($B$8=12,D43,IF($B$8=4,0,IF($B$8=6,0,IF($B$8=3,0,0))))</f>
        <v>0</v>
      </c>
      <c r="M43" s="4195"/>
      <c r="N43" s="9" t="s">
        <v>24</v>
      </c>
      <c r="O43" s="43">
        <f t="shared" si="6"/>
        <v>0</v>
      </c>
      <c r="P43" s="43">
        <f t="shared" si="6"/>
        <v>0</v>
      </c>
      <c r="Q43" s="44">
        <f t="shared" si="6"/>
        <v>0</v>
      </c>
      <c r="T43" s="234"/>
      <c r="V43" s="51"/>
      <c r="W43" s="51"/>
      <c r="X43" s="51"/>
    </row>
    <row r="44" spans="1:24" ht="15.75" customHeight="1">
      <c r="A44" s="23">
        <v>33</v>
      </c>
      <c r="B44" s="43">
        <f t="shared" si="0"/>
        <v>0</v>
      </c>
      <c r="C44" s="123">
        <f t="shared" si="2"/>
        <v>0</v>
      </c>
      <c r="D44" s="43">
        <f t="shared" si="3"/>
        <v>0</v>
      </c>
      <c r="E44" s="68">
        <f t="shared" si="4"/>
        <v>0</v>
      </c>
      <c r="G44" s="4195"/>
      <c r="H44" s="22" t="s">
        <v>25</v>
      </c>
      <c r="I44" s="43">
        <f>IF($B$8=12,B44,IF($B$8=4,0,IF($B$8=6,B28,IF($B$8=3,B20,0))))</f>
        <v>0</v>
      </c>
      <c r="J44" s="43">
        <f>IF($B$8=12,C44,IF($B$8=4,0,IF($B$8=6,C28,IF($B$8=3,C20,0))))</f>
        <v>0</v>
      </c>
      <c r="K44" s="68">
        <f>IF($B$8=12,D44,IF($B$8=4,0,IF($B$8=6,D28,IF($B$8=3,D20,0))))</f>
        <v>0</v>
      </c>
      <c r="M44" s="4195"/>
      <c r="N44" s="9" t="s">
        <v>25</v>
      </c>
      <c r="O44" s="43">
        <f t="shared" si="6"/>
        <v>0</v>
      </c>
      <c r="P44" s="43">
        <f t="shared" si="6"/>
        <v>0</v>
      </c>
      <c r="Q44" s="44">
        <f t="shared" si="6"/>
        <v>0</v>
      </c>
      <c r="T44" s="234"/>
      <c r="V44" s="51"/>
      <c r="W44" s="51"/>
      <c r="X44" s="51"/>
    </row>
    <row r="45" spans="1:24" ht="15.75" customHeight="1">
      <c r="A45" s="23">
        <v>34</v>
      </c>
      <c r="B45" s="43">
        <f t="shared" si="0"/>
        <v>0</v>
      </c>
      <c r="C45" s="123">
        <f t="shared" si="2"/>
        <v>0</v>
      </c>
      <c r="D45" s="43">
        <f t="shared" si="3"/>
        <v>0</v>
      </c>
      <c r="E45" s="68">
        <f t="shared" si="4"/>
        <v>0</v>
      </c>
      <c r="G45" s="4195"/>
      <c r="H45" s="22" t="s">
        <v>26</v>
      </c>
      <c r="I45" s="43">
        <f>IF($B$8=12,B45,IF($B$8=4,B23,IF($B$8=6,0,IF($B$8=3,0,0))))</f>
        <v>0</v>
      </c>
      <c r="J45" s="43">
        <f>IF($B$8=12,C45,IF($B$8=4,C23,IF($B$8=6,0,IF($B$8=3,0,0))))</f>
        <v>0</v>
      </c>
      <c r="K45" s="68">
        <f>IF($B$8=12,D45,IF($B$8=4,D23,IF($B$8=6,0,IF($B$8=3,0,0))))</f>
        <v>0</v>
      </c>
      <c r="M45" s="4195"/>
      <c r="N45" s="9" t="s">
        <v>26</v>
      </c>
      <c r="O45" s="43">
        <f t="shared" si="6"/>
        <v>0</v>
      </c>
      <c r="P45" s="43">
        <f t="shared" si="6"/>
        <v>0</v>
      </c>
      <c r="Q45" s="44">
        <f t="shared" si="6"/>
        <v>0</v>
      </c>
      <c r="T45" s="234"/>
      <c r="V45" s="51"/>
      <c r="W45" s="51"/>
      <c r="X45" s="51"/>
    </row>
    <row r="46" spans="1:24" ht="15.75" customHeight="1">
      <c r="A46" s="23">
        <v>35</v>
      </c>
      <c r="B46" s="43">
        <f t="shared" si="0"/>
        <v>0</v>
      </c>
      <c r="C46" s="123">
        <f t="shared" si="2"/>
        <v>0</v>
      </c>
      <c r="D46" s="43">
        <f t="shared" si="3"/>
        <v>0</v>
      </c>
      <c r="E46" s="68">
        <f t="shared" si="4"/>
        <v>0</v>
      </c>
      <c r="G46" s="4195"/>
      <c r="H46" s="22" t="s">
        <v>27</v>
      </c>
      <c r="I46" s="43">
        <f>IF($B$8=12,B46,IF($B$8=4,0,IF($B$8=6,B29,IF($B$8=3,0,0))))</f>
        <v>0</v>
      </c>
      <c r="J46" s="43">
        <f>IF($B$8=12,C46,IF($B$8=4,0,IF($B$8=6,C29,IF($B$8=3,0,0))))</f>
        <v>0</v>
      </c>
      <c r="K46" s="68">
        <f>IF($B$8=12,D46,IF($B$8=4,0,IF($B$8=6,D29,IF($B$8=3,0,0))))</f>
        <v>0</v>
      </c>
      <c r="M46" s="4195"/>
      <c r="N46" s="9" t="s">
        <v>27</v>
      </c>
      <c r="O46" s="43">
        <f t="shared" si="6"/>
        <v>0</v>
      </c>
      <c r="P46" s="43">
        <f t="shared" si="6"/>
        <v>0</v>
      </c>
      <c r="Q46" s="44">
        <f t="shared" si="6"/>
        <v>0</v>
      </c>
      <c r="T46" s="234"/>
      <c r="V46" s="51"/>
      <c r="W46" s="51"/>
      <c r="X46" s="51"/>
    </row>
    <row r="47" spans="1:24" ht="15.75" customHeight="1" thickBot="1">
      <c r="A47" s="24">
        <v>36</v>
      </c>
      <c r="B47" s="70">
        <f t="shared" si="0"/>
        <v>0</v>
      </c>
      <c r="C47" s="139">
        <f t="shared" si="2"/>
        <v>0</v>
      </c>
      <c r="D47" s="70">
        <f t="shared" si="3"/>
        <v>0</v>
      </c>
      <c r="E47" s="75">
        <f t="shared" si="4"/>
        <v>0</v>
      </c>
      <c r="G47" s="4196"/>
      <c r="H47" s="25" t="s">
        <v>28</v>
      </c>
      <c r="I47" s="70">
        <f>IF($B$8=12,B47,IF($B$8=4,0,IF($B$8=6,0,IF($B$8=3,0,0))))</f>
        <v>0</v>
      </c>
      <c r="J47" s="70">
        <f>IF($B$8=12,C47,IF($B$8=4,0,IF($B$8=6,0,IF($B$8=3,0,0))))</f>
        <v>0</v>
      </c>
      <c r="K47" s="72">
        <f>IF($B$8=12,D47,IF($B$8=4,0,IF($B$8=6,0,IF($B$8=3,0,0))))</f>
        <v>0</v>
      </c>
      <c r="M47" s="4196"/>
      <c r="N47" s="35" t="s">
        <v>28</v>
      </c>
      <c r="O47" s="45">
        <f t="shared" si="6"/>
        <v>0</v>
      </c>
      <c r="P47" s="45">
        <f t="shared" si="6"/>
        <v>0</v>
      </c>
      <c r="Q47" s="46">
        <f t="shared" si="6"/>
        <v>0</v>
      </c>
      <c r="T47" s="234"/>
      <c r="V47" s="51"/>
      <c r="W47" s="51"/>
      <c r="X47" s="51"/>
    </row>
    <row r="48" spans="1:24" ht="15.75" customHeight="1">
      <c r="A48" s="23">
        <v>37</v>
      </c>
      <c r="B48" s="43">
        <f t="shared" si="0"/>
        <v>0</v>
      </c>
      <c r="C48" s="123">
        <f t="shared" si="2"/>
        <v>0</v>
      </c>
      <c r="D48" s="43">
        <f t="shared" si="3"/>
        <v>0</v>
      </c>
      <c r="E48" s="68">
        <f t="shared" si="4"/>
        <v>0</v>
      </c>
      <c r="G48" s="4194">
        <f>'Aux 4.1.1Crédito Inicial 1'!G48:G59</f>
        <v>3</v>
      </c>
      <c r="H48" s="22" t="s">
        <v>17</v>
      </c>
      <c r="I48" s="43">
        <f>IF($B$8=12,B48,IF($B$8=4,B24,IF($B$8=6,B30,IF($B$8=3,B21,IF($B$8=2,B18,IF($B$8=1,B15,0))))))</f>
        <v>0</v>
      </c>
      <c r="J48" s="43">
        <f>IF($B$8=12,C48,IF($B$8=4,C24,IF($B$8=6,C30,IF($B$8=3,C21,IF($B$8=2,C18,IF($B$8=1,C15,0))))))</f>
        <v>0</v>
      </c>
      <c r="K48" s="68">
        <f>IF($B$8=12,D48,IF($B$8=4,D24,IF($B$8=6,D30,IF($B$8=3,D21,IF($B$8=2,D18,IF($B$8=1,D15,0))))))</f>
        <v>0</v>
      </c>
      <c r="M48" s="4194">
        <f>G48</f>
        <v>3</v>
      </c>
      <c r="N48" s="9" t="s">
        <v>17</v>
      </c>
      <c r="O48" s="76">
        <f t="shared" ref="O48:Q59" si="7">IF($I$6=4,I12,IF($I$6=3,I24,IF($I$6=2,I36,IF($I$6=1,I48,0))))</f>
        <v>0</v>
      </c>
      <c r="P48" s="76">
        <f t="shared" si="7"/>
        <v>0</v>
      </c>
      <c r="Q48" s="77">
        <f t="shared" si="7"/>
        <v>0</v>
      </c>
      <c r="T48" s="234"/>
      <c r="V48" s="51"/>
      <c r="W48" s="51"/>
      <c r="X48" s="51"/>
    </row>
    <row r="49" spans="1:24" ht="15.75" customHeight="1">
      <c r="A49" s="23">
        <v>38</v>
      </c>
      <c r="B49" s="43">
        <f t="shared" si="0"/>
        <v>0</v>
      </c>
      <c r="C49" s="123">
        <f t="shared" si="2"/>
        <v>0</v>
      </c>
      <c r="D49" s="43">
        <f t="shared" si="3"/>
        <v>0</v>
      </c>
      <c r="E49" s="68">
        <f t="shared" si="4"/>
        <v>0</v>
      </c>
      <c r="G49" s="4195"/>
      <c r="H49" s="22" t="s">
        <v>18</v>
      </c>
      <c r="I49" s="43">
        <f>IF($B$8=12,B49,0)</f>
        <v>0</v>
      </c>
      <c r="J49" s="43">
        <f>IF($B$8=12,C49,0)</f>
        <v>0</v>
      </c>
      <c r="K49" s="68">
        <f>IF($B$8=12,D49,0)</f>
        <v>0</v>
      </c>
      <c r="M49" s="4195"/>
      <c r="N49" s="9" t="s">
        <v>18</v>
      </c>
      <c r="O49" s="43">
        <f t="shared" si="7"/>
        <v>0</v>
      </c>
      <c r="P49" s="43">
        <f t="shared" si="7"/>
        <v>0</v>
      </c>
      <c r="Q49" s="44">
        <f t="shared" si="7"/>
        <v>0</v>
      </c>
      <c r="T49" s="234"/>
      <c r="V49" s="51"/>
      <c r="W49" s="51"/>
      <c r="X49" s="51"/>
    </row>
    <row r="50" spans="1:24" ht="15.75" customHeight="1">
      <c r="A50" s="23">
        <v>39</v>
      </c>
      <c r="B50" s="43">
        <f t="shared" si="0"/>
        <v>0</v>
      </c>
      <c r="C50" s="123">
        <f t="shared" si="2"/>
        <v>0</v>
      </c>
      <c r="D50" s="43">
        <f t="shared" si="3"/>
        <v>0</v>
      </c>
      <c r="E50" s="68">
        <f t="shared" si="4"/>
        <v>0</v>
      </c>
      <c r="G50" s="4195"/>
      <c r="H50" s="22" t="s">
        <v>19</v>
      </c>
      <c r="I50" s="43">
        <f>IF($B$8=12,B50,IF($B$8=6,B31,0))</f>
        <v>0</v>
      </c>
      <c r="J50" s="43">
        <f>IF($B$8=12,C50,IF($B$8=6,C31,0))</f>
        <v>0</v>
      </c>
      <c r="K50" s="68">
        <f>IF($B$8=12,D50,IF($B$8=6,D31,0))</f>
        <v>0</v>
      </c>
      <c r="M50" s="4195"/>
      <c r="N50" s="9" t="s">
        <v>19</v>
      </c>
      <c r="O50" s="43">
        <f t="shared" si="7"/>
        <v>0</v>
      </c>
      <c r="P50" s="43">
        <f t="shared" si="7"/>
        <v>0</v>
      </c>
      <c r="Q50" s="44">
        <f t="shared" si="7"/>
        <v>0</v>
      </c>
      <c r="T50" s="234"/>
      <c r="V50" s="51"/>
      <c r="W50" s="51"/>
      <c r="X50" s="51"/>
    </row>
    <row r="51" spans="1:24" ht="15.75" customHeight="1">
      <c r="A51" s="23">
        <v>40</v>
      </c>
      <c r="B51" s="43">
        <f t="shared" si="0"/>
        <v>0</v>
      </c>
      <c r="C51" s="123">
        <f t="shared" si="2"/>
        <v>0</v>
      </c>
      <c r="D51" s="43">
        <f t="shared" si="3"/>
        <v>0</v>
      </c>
      <c r="E51" s="68">
        <f t="shared" si="4"/>
        <v>0</v>
      </c>
      <c r="G51" s="4195"/>
      <c r="H51" s="22" t="s">
        <v>20</v>
      </c>
      <c r="I51" s="43">
        <f>IF($B$8=12,B51,IF($B$8=4,B25,IF($B$8=6,0,IF($B$8=3,0,0))))</f>
        <v>0</v>
      </c>
      <c r="J51" s="43">
        <f>IF($B$8=12,C51,IF($B$8=4,C25,IF($B$8=6,0,IF($B$8=3,0,0))))</f>
        <v>0</v>
      </c>
      <c r="K51" s="68">
        <f>IF($B$8=12,D51,IF($B$8=4,D25,IF($B$8=6,0,IF($B$8=3,0,0))))</f>
        <v>0</v>
      </c>
      <c r="M51" s="4195"/>
      <c r="N51" s="9" t="s">
        <v>20</v>
      </c>
      <c r="O51" s="43">
        <f t="shared" si="7"/>
        <v>0</v>
      </c>
      <c r="P51" s="43">
        <f t="shared" si="7"/>
        <v>0</v>
      </c>
      <c r="Q51" s="44">
        <f t="shared" si="7"/>
        <v>0</v>
      </c>
      <c r="T51" s="234"/>
      <c r="V51" s="51"/>
      <c r="W51" s="51"/>
      <c r="X51" s="51"/>
    </row>
    <row r="52" spans="1:24" ht="15.75" customHeight="1">
      <c r="A52" s="23">
        <v>41</v>
      </c>
      <c r="B52" s="43">
        <f t="shared" si="0"/>
        <v>0</v>
      </c>
      <c r="C52" s="123">
        <f t="shared" si="2"/>
        <v>0</v>
      </c>
      <c r="D52" s="43">
        <f t="shared" si="3"/>
        <v>0</v>
      </c>
      <c r="E52" s="68">
        <f t="shared" si="4"/>
        <v>0</v>
      </c>
      <c r="G52" s="4195"/>
      <c r="H52" s="22" t="s">
        <v>21</v>
      </c>
      <c r="I52" s="43">
        <f>IF($B$8=12,B52,IF($B$8=4,0,IF($B$8=6,B32,IF($B$8=3,B22,0))))</f>
        <v>0</v>
      </c>
      <c r="J52" s="43">
        <f>IF($B$8=12,C52,IF($B$8=4,0,IF($B$8=6,C32,IF($B$8=3,C22,0))))</f>
        <v>0</v>
      </c>
      <c r="K52" s="68">
        <f>IF($B$8=12,D52,IF($B$8=4,0,IF($B$8=6,D32,IF($B$8=3,D22,0))))</f>
        <v>0</v>
      </c>
      <c r="M52" s="4195"/>
      <c r="N52" s="9" t="s">
        <v>21</v>
      </c>
      <c r="O52" s="43">
        <f t="shared" si="7"/>
        <v>0</v>
      </c>
      <c r="P52" s="43">
        <f t="shared" si="7"/>
        <v>0</v>
      </c>
      <c r="Q52" s="44">
        <f t="shared" si="7"/>
        <v>0</v>
      </c>
      <c r="T52" s="234"/>
      <c r="V52" s="51"/>
      <c r="W52" s="51"/>
      <c r="X52" s="51"/>
    </row>
    <row r="53" spans="1:24" ht="15.75" customHeight="1">
      <c r="A53" s="23">
        <v>42</v>
      </c>
      <c r="B53" s="43">
        <f t="shared" si="0"/>
        <v>0</v>
      </c>
      <c r="C53" s="123">
        <f t="shared" si="2"/>
        <v>0</v>
      </c>
      <c r="D53" s="43">
        <f t="shared" si="3"/>
        <v>0</v>
      </c>
      <c r="E53" s="68">
        <f t="shared" si="4"/>
        <v>0</v>
      </c>
      <c r="G53" s="4195"/>
      <c r="H53" s="22" t="s">
        <v>22</v>
      </c>
      <c r="I53" s="43">
        <f>IF($B$8=12,B53,IF($B$8=4,0,IF($B$8=6,0,IF($B$8=3,0,0))))</f>
        <v>0</v>
      </c>
      <c r="J53" s="43">
        <f>IF($B$8=12,C53,IF($B$8=4,0,IF($B$8=6,0,IF($B$8=3,0,0))))</f>
        <v>0</v>
      </c>
      <c r="K53" s="68">
        <f>IF($B$8=12,D53,IF($B$8=4,0,IF($B$8=6,0,IF($B$8=3,0,0))))</f>
        <v>0</v>
      </c>
      <c r="M53" s="4195"/>
      <c r="N53" s="9" t="s">
        <v>22</v>
      </c>
      <c r="O53" s="43">
        <f t="shared" si="7"/>
        <v>0</v>
      </c>
      <c r="P53" s="43">
        <f t="shared" si="7"/>
        <v>0</v>
      </c>
      <c r="Q53" s="44">
        <f t="shared" si="7"/>
        <v>0</v>
      </c>
      <c r="T53" s="234"/>
      <c r="V53" s="51"/>
      <c r="W53" s="51"/>
      <c r="X53" s="51"/>
    </row>
    <row r="54" spans="1:24" ht="15.75" customHeight="1">
      <c r="A54" s="23">
        <v>43</v>
      </c>
      <c r="B54" s="43">
        <f t="shared" si="0"/>
        <v>0</v>
      </c>
      <c r="C54" s="123">
        <f t="shared" si="2"/>
        <v>0</v>
      </c>
      <c r="D54" s="43">
        <f t="shared" si="3"/>
        <v>0</v>
      </c>
      <c r="E54" s="68">
        <f t="shared" si="4"/>
        <v>0</v>
      </c>
      <c r="G54" s="4195"/>
      <c r="H54" s="22" t="s">
        <v>23</v>
      </c>
      <c r="I54" s="43">
        <f>IF($B$8=12,B54,IF($B$8=4,B26,IF($B$8=6,B33,IF($B$8=3,0,IF($B$8=2,B19,0)))))</f>
        <v>0</v>
      </c>
      <c r="J54" s="43">
        <f>IF($B$8=12,C54,IF($B$8=4,C26,IF($B$8=6,C33,IF($B$8=3,0,IF($B$8=2,C19,0)))))</f>
        <v>0</v>
      </c>
      <c r="K54" s="68">
        <f>IF($B$8=12,D54,IF($B$8=4,D26,IF($B$8=6,D33,IF($B$8=3,0,IF($B$8=2,D19,0)))))</f>
        <v>0</v>
      </c>
      <c r="M54" s="4195"/>
      <c r="N54" s="9" t="s">
        <v>23</v>
      </c>
      <c r="O54" s="43">
        <f t="shared" si="7"/>
        <v>0</v>
      </c>
      <c r="P54" s="43">
        <f t="shared" si="7"/>
        <v>0</v>
      </c>
      <c r="Q54" s="44">
        <f t="shared" si="7"/>
        <v>0</v>
      </c>
      <c r="T54" s="234"/>
      <c r="V54" s="51"/>
      <c r="W54" s="51"/>
      <c r="X54" s="51"/>
    </row>
    <row r="55" spans="1:24" ht="15.75" customHeight="1">
      <c r="A55" s="23">
        <v>44</v>
      </c>
      <c r="B55" s="43">
        <f t="shared" si="0"/>
        <v>0</v>
      </c>
      <c r="C55" s="123">
        <f t="shared" si="2"/>
        <v>0</v>
      </c>
      <c r="D55" s="43">
        <f t="shared" si="3"/>
        <v>0</v>
      </c>
      <c r="E55" s="68">
        <f t="shared" si="4"/>
        <v>0</v>
      </c>
      <c r="G55" s="4195"/>
      <c r="H55" s="22" t="s">
        <v>24</v>
      </c>
      <c r="I55" s="43">
        <f>IF($B$8=12,B55,IF($B$8=4,0,IF($B$8=6,0,IF($B$8=3,0,0))))</f>
        <v>0</v>
      </c>
      <c r="J55" s="43">
        <f>IF($B$8=12,C55,IF($B$8=4,0,IF($B$8=6,0,IF($B$8=3,0,0))))</f>
        <v>0</v>
      </c>
      <c r="K55" s="68">
        <f>IF($B$8=12,D55,IF($B$8=4,0,IF($B$8=6,0,IF($B$8=3,0,0))))</f>
        <v>0</v>
      </c>
      <c r="M55" s="4195"/>
      <c r="N55" s="9" t="s">
        <v>24</v>
      </c>
      <c r="O55" s="43">
        <f t="shared" si="7"/>
        <v>0</v>
      </c>
      <c r="P55" s="43">
        <f t="shared" si="7"/>
        <v>0</v>
      </c>
      <c r="Q55" s="44">
        <f t="shared" si="7"/>
        <v>0</v>
      </c>
      <c r="T55" s="234"/>
      <c r="V55" s="51"/>
      <c r="W55" s="51"/>
      <c r="X55" s="51"/>
    </row>
    <row r="56" spans="1:24" ht="15.75" customHeight="1">
      <c r="A56" s="23">
        <v>45</v>
      </c>
      <c r="B56" s="43">
        <f t="shared" si="0"/>
        <v>0</v>
      </c>
      <c r="C56" s="123">
        <f t="shared" si="2"/>
        <v>0</v>
      </c>
      <c r="D56" s="43">
        <f t="shared" si="3"/>
        <v>0</v>
      </c>
      <c r="E56" s="68">
        <f t="shared" si="4"/>
        <v>0</v>
      </c>
      <c r="G56" s="4195"/>
      <c r="H56" s="22" t="s">
        <v>25</v>
      </c>
      <c r="I56" s="43">
        <f>IF($B$8=12,B56,IF($B$8=4,0,IF($B$8=6,B34,IF($B$8=3,B23,0))))</f>
        <v>0</v>
      </c>
      <c r="J56" s="43">
        <f>IF($B$8=12,C56,IF($B$8=4,0,IF($B$8=6,C34,IF($B$8=3,C23,0))))</f>
        <v>0</v>
      </c>
      <c r="K56" s="68">
        <f>IF($B$8=12,D56,IF($B$8=4,0,IF($B$8=6,D34,IF($B$8=3,D23,0))))</f>
        <v>0</v>
      </c>
      <c r="M56" s="4195"/>
      <c r="N56" s="9" t="s">
        <v>25</v>
      </c>
      <c r="O56" s="43">
        <f t="shared" si="7"/>
        <v>0</v>
      </c>
      <c r="P56" s="43">
        <f t="shared" si="7"/>
        <v>0</v>
      </c>
      <c r="Q56" s="44">
        <f t="shared" si="7"/>
        <v>0</v>
      </c>
      <c r="T56" s="234"/>
      <c r="V56" s="51"/>
      <c r="W56" s="51"/>
      <c r="X56" s="51"/>
    </row>
    <row r="57" spans="1:24" ht="15.75" customHeight="1">
      <c r="A57" s="23">
        <v>46</v>
      </c>
      <c r="B57" s="43">
        <f t="shared" si="0"/>
        <v>0</v>
      </c>
      <c r="C57" s="123">
        <f t="shared" si="2"/>
        <v>0</v>
      </c>
      <c r="D57" s="43">
        <f t="shared" si="3"/>
        <v>0</v>
      </c>
      <c r="E57" s="68">
        <f t="shared" si="4"/>
        <v>0</v>
      </c>
      <c r="G57" s="4195"/>
      <c r="H57" s="22" t="s">
        <v>26</v>
      </c>
      <c r="I57" s="43">
        <f>IF($B$8=12,B57,IF($B$8=4,B27,IF($B$8=6,0,IF($B$8=3,0,0))))</f>
        <v>0</v>
      </c>
      <c r="J57" s="43">
        <f>IF($B$8=12,C57,IF($B$8=4,C27,IF($B$8=6,0,IF($B$8=3,0,0))))</f>
        <v>0</v>
      </c>
      <c r="K57" s="68">
        <f>IF($B$8=12,D57,IF($B$8=4,D27,IF($B$8=6,0,IF($B$8=3,0,0))))</f>
        <v>0</v>
      </c>
      <c r="M57" s="4195"/>
      <c r="N57" s="9" t="s">
        <v>26</v>
      </c>
      <c r="O57" s="43">
        <f t="shared" si="7"/>
        <v>0</v>
      </c>
      <c r="P57" s="43">
        <f t="shared" si="7"/>
        <v>0</v>
      </c>
      <c r="Q57" s="44">
        <f t="shared" si="7"/>
        <v>0</v>
      </c>
      <c r="T57" s="234"/>
      <c r="V57" s="51"/>
      <c r="W57" s="51"/>
      <c r="X57" s="51"/>
    </row>
    <row r="58" spans="1:24" ht="15.75" customHeight="1">
      <c r="A58" s="23">
        <v>47</v>
      </c>
      <c r="B58" s="43">
        <f t="shared" si="0"/>
        <v>0</v>
      </c>
      <c r="C58" s="123">
        <f t="shared" si="2"/>
        <v>0</v>
      </c>
      <c r="D58" s="43">
        <f t="shared" si="3"/>
        <v>0</v>
      </c>
      <c r="E58" s="68">
        <f t="shared" si="4"/>
        <v>0</v>
      </c>
      <c r="G58" s="4195"/>
      <c r="H58" s="22" t="s">
        <v>27</v>
      </c>
      <c r="I58" s="43">
        <f>IF($B$8=12,B58,IF($B$8=4,0,IF($B$8=6,B35,IF($B$8=3,0,0))))</f>
        <v>0</v>
      </c>
      <c r="J58" s="43">
        <f>IF($B$8=12,C58,IF($B$8=4,0,IF($B$8=6,C35,IF($B$8=3,0,0))))</f>
        <v>0</v>
      </c>
      <c r="K58" s="68">
        <f>IF($B$8=12,D58,IF($B$8=4,0,IF($B$8=6,D35,IF($B$8=3,0,0))))</f>
        <v>0</v>
      </c>
      <c r="M58" s="4195"/>
      <c r="N58" s="9" t="s">
        <v>27</v>
      </c>
      <c r="O58" s="43">
        <f t="shared" si="7"/>
        <v>0</v>
      </c>
      <c r="P58" s="43">
        <f t="shared" si="7"/>
        <v>0</v>
      </c>
      <c r="Q58" s="44">
        <f t="shared" si="7"/>
        <v>0</v>
      </c>
      <c r="T58" s="234"/>
      <c r="V58" s="51"/>
      <c r="W58" s="51"/>
      <c r="X58" s="51"/>
    </row>
    <row r="59" spans="1:24" ht="15.75" customHeight="1" thickBot="1">
      <c r="A59" s="24">
        <v>48</v>
      </c>
      <c r="B59" s="70">
        <f t="shared" si="0"/>
        <v>0</v>
      </c>
      <c r="C59" s="139">
        <f t="shared" si="2"/>
        <v>0</v>
      </c>
      <c r="D59" s="70">
        <f t="shared" si="3"/>
        <v>0</v>
      </c>
      <c r="E59" s="75">
        <f t="shared" si="4"/>
        <v>0</v>
      </c>
      <c r="G59" s="4196"/>
      <c r="H59" s="25" t="s">
        <v>28</v>
      </c>
      <c r="I59" s="70">
        <f>IF($B$8=12,B59,IF($B$8=4,0,IF($B$8=6,0,IF($B$8=3,0,0))))</f>
        <v>0</v>
      </c>
      <c r="J59" s="70">
        <f>IF($B$8=12,C59,IF($B$8=4,0,IF($B$8=6,0,IF($B$8=3,0,0))))</f>
        <v>0</v>
      </c>
      <c r="K59" s="72">
        <f>IF($B$8=12,D59,IF($B$8=4,0,IF($B$8=6,0,IF($B$8=3,0,0))))</f>
        <v>0</v>
      </c>
      <c r="M59" s="4196"/>
      <c r="N59" s="35" t="s">
        <v>28</v>
      </c>
      <c r="O59" s="45">
        <f t="shared" si="7"/>
        <v>0</v>
      </c>
      <c r="P59" s="45">
        <f t="shared" si="7"/>
        <v>0</v>
      </c>
      <c r="Q59" s="46">
        <f t="shared" si="7"/>
        <v>0</v>
      </c>
      <c r="T59" s="234"/>
      <c r="V59" s="51"/>
      <c r="W59" s="51"/>
      <c r="X59" s="51"/>
    </row>
    <row r="60" spans="1:24" ht="15.75" customHeight="1">
      <c r="A60" s="23">
        <v>49</v>
      </c>
      <c r="B60" s="43">
        <f t="shared" si="0"/>
        <v>0</v>
      </c>
      <c r="C60" s="123">
        <f t="shared" si="2"/>
        <v>0</v>
      </c>
      <c r="D60" s="43">
        <f t="shared" si="3"/>
        <v>0</v>
      </c>
      <c r="E60" s="68">
        <f t="shared" si="4"/>
        <v>0</v>
      </c>
      <c r="G60" s="4194">
        <f>'Aux 4.1.1Crédito Inicial 1'!G60:G71</f>
        <v>4</v>
      </c>
      <c r="H60" s="22" t="s">
        <v>17</v>
      </c>
      <c r="I60" s="43">
        <f>IF($B$8=12,B60,IF($B$8=4,B28,IF($B$8=6,B36,IF($B$8=3,B24,IF($B$8=2,B20,IF($B$8=1,B16,0))))))</f>
        <v>0</v>
      </c>
      <c r="J60" s="43">
        <f>IF($B$8=12,C60,IF($B$8=4,C28,IF($B$8=6,C36,IF($B$8=3,C24,IF($B$8=2,C20,IF($B$8=1,C16,0))))))</f>
        <v>0</v>
      </c>
      <c r="K60" s="68">
        <f>IF($B$8=12,D60,IF($B$8=4,D28,IF($B$8=6,D36,IF($B$8=3,D24,IF($B$8=2,D20,IF($B$8=1,D16,0))))))</f>
        <v>0</v>
      </c>
      <c r="M60" s="4194">
        <v>2019</v>
      </c>
      <c r="N60" s="9" t="s">
        <v>17</v>
      </c>
      <c r="O60" s="76">
        <f t="shared" ref="O60:Q75" si="8">IF($I$6=5,I12,IF($I$6=4,I24,IF($I$6=3,I36,IF($I$6=2,I48,IF($I$6=1,I60,0)))))</f>
        <v>0</v>
      </c>
      <c r="P60" s="76">
        <f t="shared" si="8"/>
        <v>0</v>
      </c>
      <c r="Q60" s="77">
        <f t="shared" si="8"/>
        <v>0</v>
      </c>
      <c r="T60" s="234"/>
      <c r="V60" s="51"/>
      <c r="W60" s="51"/>
      <c r="X60" s="51"/>
    </row>
    <row r="61" spans="1:24" ht="15.75" customHeight="1">
      <c r="A61" s="23">
        <v>50</v>
      </c>
      <c r="B61" s="43">
        <f t="shared" si="0"/>
        <v>0</v>
      </c>
      <c r="C61" s="123">
        <f t="shared" si="2"/>
        <v>0</v>
      </c>
      <c r="D61" s="43">
        <f t="shared" si="3"/>
        <v>0</v>
      </c>
      <c r="E61" s="68">
        <f t="shared" si="4"/>
        <v>0</v>
      </c>
      <c r="G61" s="4195"/>
      <c r="H61" s="22" t="s">
        <v>18</v>
      </c>
      <c r="I61" s="43">
        <f>IF($B$8=12,B61,0)</f>
        <v>0</v>
      </c>
      <c r="J61" s="43">
        <f>IF($B$8=12,C61,0)</f>
        <v>0</v>
      </c>
      <c r="K61" s="68">
        <f>IF($B$8=12,D61,0)</f>
        <v>0</v>
      </c>
      <c r="M61" s="4195"/>
      <c r="N61" s="9" t="s">
        <v>18</v>
      </c>
      <c r="O61" s="43">
        <f t="shared" si="8"/>
        <v>0</v>
      </c>
      <c r="P61" s="43">
        <f t="shared" si="8"/>
        <v>0</v>
      </c>
      <c r="Q61" s="44">
        <f t="shared" si="8"/>
        <v>0</v>
      </c>
      <c r="T61" s="234"/>
      <c r="V61" s="51"/>
      <c r="W61" s="51"/>
      <c r="X61" s="51"/>
    </row>
    <row r="62" spans="1:24" ht="15.75" customHeight="1">
      <c r="A62" s="23">
        <v>51</v>
      </c>
      <c r="B62" s="43">
        <f t="shared" si="0"/>
        <v>0</v>
      </c>
      <c r="C62" s="123">
        <f t="shared" si="2"/>
        <v>0</v>
      </c>
      <c r="D62" s="43">
        <f t="shared" si="3"/>
        <v>0</v>
      </c>
      <c r="E62" s="68">
        <f t="shared" si="4"/>
        <v>0</v>
      </c>
      <c r="G62" s="4195"/>
      <c r="H62" s="22" t="s">
        <v>19</v>
      </c>
      <c r="I62" s="43">
        <f>IF($B$8=12,B62,IF($B$8=6,B37,0))</f>
        <v>0</v>
      </c>
      <c r="J62" s="43">
        <f>IF($B$8=12,C62,IF($B$8=6,C37,0))</f>
        <v>0</v>
      </c>
      <c r="K62" s="68">
        <f>IF($B$8=12,D62,IF($B$8=6,D37,0))</f>
        <v>0</v>
      </c>
      <c r="M62" s="4195"/>
      <c r="N62" s="9" t="s">
        <v>19</v>
      </c>
      <c r="O62" s="43">
        <f t="shared" si="8"/>
        <v>0</v>
      </c>
      <c r="P62" s="43">
        <f t="shared" si="8"/>
        <v>0</v>
      </c>
      <c r="Q62" s="44">
        <f t="shared" si="8"/>
        <v>0</v>
      </c>
      <c r="T62" s="234"/>
      <c r="V62" s="51"/>
      <c r="W62" s="51"/>
      <c r="X62" s="51"/>
    </row>
    <row r="63" spans="1:24" ht="15.75" customHeight="1">
      <c r="A63" s="23">
        <v>52</v>
      </c>
      <c r="B63" s="43">
        <f t="shared" si="0"/>
        <v>0</v>
      </c>
      <c r="C63" s="123">
        <f t="shared" si="2"/>
        <v>0</v>
      </c>
      <c r="D63" s="43">
        <f t="shared" si="3"/>
        <v>0</v>
      </c>
      <c r="E63" s="68">
        <f t="shared" si="4"/>
        <v>0</v>
      </c>
      <c r="G63" s="4195"/>
      <c r="H63" s="22" t="s">
        <v>20</v>
      </c>
      <c r="I63" s="43">
        <f>IF($B$8=12,B63,IF($B$8=4,B29,IF($B$8=6,0,IF($B$8=3,0,0))))</f>
        <v>0</v>
      </c>
      <c r="J63" s="43">
        <f>IF($B$8=12,C63,IF($B$8=4,C29,IF($B$8=6,0,IF($B$8=3,0,0))))</f>
        <v>0</v>
      </c>
      <c r="K63" s="68">
        <f>IF($B$8=12,D63,IF($B$8=4,D29,IF($B$8=6,0,IF($B$8=3,0,0))))</f>
        <v>0</v>
      </c>
      <c r="M63" s="4195"/>
      <c r="N63" s="9" t="s">
        <v>20</v>
      </c>
      <c r="O63" s="43">
        <f t="shared" si="8"/>
        <v>0</v>
      </c>
      <c r="P63" s="43">
        <f t="shared" si="8"/>
        <v>0</v>
      </c>
      <c r="Q63" s="44">
        <f t="shared" si="8"/>
        <v>0</v>
      </c>
      <c r="T63" s="234"/>
      <c r="V63" s="51"/>
      <c r="W63" s="51"/>
      <c r="X63" s="51"/>
    </row>
    <row r="64" spans="1:24" ht="15.75" customHeight="1">
      <c r="A64" s="23">
        <v>53</v>
      </c>
      <c r="B64" s="43">
        <f t="shared" si="0"/>
        <v>0</v>
      </c>
      <c r="C64" s="123">
        <f t="shared" si="2"/>
        <v>0</v>
      </c>
      <c r="D64" s="43">
        <f t="shared" si="3"/>
        <v>0</v>
      </c>
      <c r="E64" s="68">
        <f t="shared" si="4"/>
        <v>0</v>
      </c>
      <c r="G64" s="4195"/>
      <c r="H64" s="22" t="s">
        <v>21</v>
      </c>
      <c r="I64" s="43">
        <f>IF($B$8=12,B64,IF($B$8=4,0,IF($B$8=6,B38,IF($B$8=3,B25,0))))</f>
        <v>0</v>
      </c>
      <c r="J64" s="43">
        <f>IF($B$8=12,C64,IF($B$8=4,0,IF($B$8=6,C38,IF($B$8=3,C25,0))))</f>
        <v>0</v>
      </c>
      <c r="K64" s="68">
        <f>IF($B$8=12,D64,IF($B$8=4,0,IF($B$8=6,D38,IF($B$8=3,D25,0))))</f>
        <v>0</v>
      </c>
      <c r="M64" s="4195"/>
      <c r="N64" s="9" t="s">
        <v>21</v>
      </c>
      <c r="O64" s="43">
        <f t="shared" si="8"/>
        <v>0</v>
      </c>
      <c r="P64" s="43">
        <f t="shared" si="8"/>
        <v>0</v>
      </c>
      <c r="Q64" s="44">
        <f t="shared" si="8"/>
        <v>0</v>
      </c>
      <c r="T64" s="234"/>
      <c r="V64" s="51"/>
      <c r="W64" s="51"/>
      <c r="X64" s="51"/>
    </row>
    <row r="65" spans="1:24" ht="15.75" customHeight="1">
      <c r="A65" s="23">
        <v>54</v>
      </c>
      <c r="B65" s="43">
        <f t="shared" si="0"/>
        <v>0</v>
      </c>
      <c r="C65" s="123">
        <f t="shared" si="2"/>
        <v>0</v>
      </c>
      <c r="D65" s="43">
        <f t="shared" si="3"/>
        <v>0</v>
      </c>
      <c r="E65" s="68">
        <f t="shared" si="4"/>
        <v>0</v>
      </c>
      <c r="G65" s="4195"/>
      <c r="H65" s="22" t="s">
        <v>22</v>
      </c>
      <c r="I65" s="43">
        <f>IF($B$8=12,B65,IF($B$8=4,0,IF($B$8=6,0,IF($B$8=3,0,0))))</f>
        <v>0</v>
      </c>
      <c r="J65" s="43">
        <f>IF($B$8=12,C65,IF($B$8=4,0,IF($B$8=6,0,IF($B$8=3,0,0))))</f>
        <v>0</v>
      </c>
      <c r="K65" s="68">
        <f>IF($B$8=12,D65,IF($B$8=4,0,IF($B$8=6,0,IF($B$8=3,0,0))))</f>
        <v>0</v>
      </c>
      <c r="M65" s="4195"/>
      <c r="N65" s="9" t="s">
        <v>22</v>
      </c>
      <c r="O65" s="43">
        <f t="shared" si="8"/>
        <v>0</v>
      </c>
      <c r="P65" s="43">
        <f t="shared" si="8"/>
        <v>0</v>
      </c>
      <c r="Q65" s="44">
        <f t="shared" si="8"/>
        <v>0</v>
      </c>
      <c r="T65" s="234"/>
      <c r="V65" s="51"/>
      <c r="W65" s="51"/>
      <c r="X65" s="51"/>
    </row>
    <row r="66" spans="1:24" ht="15.75" customHeight="1">
      <c r="A66" s="23">
        <v>55</v>
      </c>
      <c r="B66" s="43">
        <f t="shared" si="0"/>
        <v>0</v>
      </c>
      <c r="C66" s="123">
        <f t="shared" si="2"/>
        <v>0</v>
      </c>
      <c r="D66" s="43">
        <f t="shared" si="3"/>
        <v>0</v>
      </c>
      <c r="E66" s="68">
        <f t="shared" si="4"/>
        <v>0</v>
      </c>
      <c r="G66" s="4195"/>
      <c r="H66" s="22" t="s">
        <v>23</v>
      </c>
      <c r="I66" s="43">
        <f>IF($B$8=12,B66,IF($B$8=4,B30,IF($B$8=6,B39,IF($B$8=3,0,IF($B$8=2,B21,0)))))</f>
        <v>0</v>
      </c>
      <c r="J66" s="43">
        <f>IF($B$8=12,C66,IF($B$8=4,C30,IF($B$8=6,C39,IF($B$8=3,0,IF($B$8=2,C21,0)))))</f>
        <v>0</v>
      </c>
      <c r="K66" s="68">
        <f>IF($B$8=12,D66,IF($B$8=4,D30,IF($B$8=6,D39,IF($B$8=3,0,IF($B$8=2,D21,0)))))</f>
        <v>0</v>
      </c>
      <c r="M66" s="4195"/>
      <c r="N66" s="9" t="s">
        <v>23</v>
      </c>
      <c r="O66" s="43">
        <f t="shared" si="8"/>
        <v>0</v>
      </c>
      <c r="P66" s="43">
        <f t="shared" si="8"/>
        <v>0</v>
      </c>
      <c r="Q66" s="44">
        <f t="shared" si="8"/>
        <v>0</v>
      </c>
      <c r="T66" s="234"/>
      <c r="V66" s="51"/>
      <c r="W66" s="51"/>
      <c r="X66" s="51"/>
    </row>
    <row r="67" spans="1:24" ht="15.75" customHeight="1">
      <c r="A67" s="23">
        <v>56</v>
      </c>
      <c r="B67" s="43">
        <f t="shared" si="0"/>
        <v>0</v>
      </c>
      <c r="C67" s="123">
        <f t="shared" si="2"/>
        <v>0</v>
      </c>
      <c r="D67" s="43">
        <f t="shared" si="3"/>
        <v>0</v>
      </c>
      <c r="E67" s="68">
        <f t="shared" si="4"/>
        <v>0</v>
      </c>
      <c r="G67" s="4195"/>
      <c r="H67" s="22" t="s">
        <v>24</v>
      </c>
      <c r="I67" s="43">
        <f>IF($B$8=12,B67,IF($B$8=4,0,IF($B$8=6,0,IF($B$8=3,0,0))))</f>
        <v>0</v>
      </c>
      <c r="J67" s="43">
        <f>IF($B$8=12,C67,IF($B$8=4,0,IF($B$8=6,0,IF($B$8=3,0,0))))</f>
        <v>0</v>
      </c>
      <c r="K67" s="68">
        <f>IF($B$8=12,D67,IF($B$8=4,0,IF($B$8=6,0,IF($B$8=3,0,0))))</f>
        <v>0</v>
      </c>
      <c r="M67" s="4195"/>
      <c r="N67" s="9" t="s">
        <v>24</v>
      </c>
      <c r="O67" s="43">
        <f t="shared" si="8"/>
        <v>0</v>
      </c>
      <c r="P67" s="43">
        <f t="shared" si="8"/>
        <v>0</v>
      </c>
      <c r="Q67" s="44">
        <f t="shared" si="8"/>
        <v>0</v>
      </c>
      <c r="T67" s="234"/>
      <c r="V67" s="51"/>
      <c r="W67" s="51"/>
      <c r="X67" s="51"/>
    </row>
    <row r="68" spans="1:24" ht="15.75" customHeight="1">
      <c r="A68" s="23">
        <v>57</v>
      </c>
      <c r="B68" s="43">
        <f t="shared" si="0"/>
        <v>0</v>
      </c>
      <c r="C68" s="123">
        <f t="shared" si="2"/>
        <v>0</v>
      </c>
      <c r="D68" s="43">
        <f t="shared" si="3"/>
        <v>0</v>
      </c>
      <c r="E68" s="68">
        <f t="shared" si="4"/>
        <v>0</v>
      </c>
      <c r="G68" s="4195"/>
      <c r="H68" s="22" t="s">
        <v>25</v>
      </c>
      <c r="I68" s="43">
        <f>IF($B$8=12,B68,IF($B$8=4,0,IF($B$8=6,B40,IF($B$8=3,B26,0))))</f>
        <v>0</v>
      </c>
      <c r="J68" s="43">
        <f>IF($B$8=12,C68,IF($B$8=4,0,IF($B$8=6,C40,IF($B$8=3,C26,0))))</f>
        <v>0</v>
      </c>
      <c r="K68" s="68">
        <f>IF($B$8=12,D68,IF($B$8=4,0,IF($B$8=6,D40,IF($B$8=3,D26,0))))</f>
        <v>0</v>
      </c>
      <c r="M68" s="4195"/>
      <c r="N68" s="9" t="s">
        <v>25</v>
      </c>
      <c r="O68" s="43">
        <f t="shared" si="8"/>
        <v>0</v>
      </c>
      <c r="P68" s="43">
        <f t="shared" si="8"/>
        <v>0</v>
      </c>
      <c r="Q68" s="44">
        <f t="shared" si="8"/>
        <v>0</v>
      </c>
      <c r="T68" s="234"/>
      <c r="V68" s="51"/>
      <c r="W68" s="51"/>
      <c r="X68" s="51"/>
    </row>
    <row r="69" spans="1:24" ht="15.75" customHeight="1">
      <c r="A69" s="23">
        <v>58</v>
      </c>
      <c r="B69" s="43">
        <f t="shared" si="0"/>
        <v>0</v>
      </c>
      <c r="C69" s="123">
        <f t="shared" si="2"/>
        <v>0</v>
      </c>
      <c r="D69" s="43">
        <f t="shared" si="3"/>
        <v>0</v>
      </c>
      <c r="E69" s="68">
        <f t="shared" si="4"/>
        <v>0</v>
      </c>
      <c r="G69" s="4195"/>
      <c r="H69" s="22" t="s">
        <v>26</v>
      </c>
      <c r="I69" s="43">
        <f>IF($B$8=12,B69,IF($B$8=4,B31,IF($B$8=6,0,IF($B$8=3,0,0))))</f>
        <v>0</v>
      </c>
      <c r="J69" s="43">
        <f>IF($B$8=12,C69,IF($B$8=4,C31,IF($B$8=6,0,IF($B$8=3,0,0))))</f>
        <v>0</v>
      </c>
      <c r="K69" s="68">
        <f>IF($B$8=12,D69,IF($B$8=4,D31,IF($B$8=6,0,IF($B$8=3,0,0))))</f>
        <v>0</v>
      </c>
      <c r="M69" s="4195"/>
      <c r="N69" s="9" t="s">
        <v>26</v>
      </c>
      <c r="O69" s="43">
        <f t="shared" si="8"/>
        <v>0</v>
      </c>
      <c r="P69" s="43">
        <f t="shared" si="8"/>
        <v>0</v>
      </c>
      <c r="Q69" s="44">
        <f t="shared" si="8"/>
        <v>0</v>
      </c>
      <c r="T69" s="234"/>
      <c r="V69" s="51"/>
      <c r="W69" s="51"/>
      <c r="X69" s="51"/>
    </row>
    <row r="70" spans="1:24" ht="15.75" customHeight="1">
      <c r="A70" s="23">
        <v>59</v>
      </c>
      <c r="B70" s="43">
        <f t="shared" si="0"/>
        <v>0</v>
      </c>
      <c r="C70" s="123">
        <f t="shared" si="2"/>
        <v>0</v>
      </c>
      <c r="D70" s="43">
        <f t="shared" si="3"/>
        <v>0</v>
      </c>
      <c r="E70" s="68">
        <f t="shared" si="4"/>
        <v>0</v>
      </c>
      <c r="G70" s="4195"/>
      <c r="H70" s="22" t="s">
        <v>27</v>
      </c>
      <c r="I70" s="43">
        <f>IF($B$8=12,B70,IF($B$8=4,0,IF($B$8=6,B41,IF($B$8=3,0,0))))</f>
        <v>0</v>
      </c>
      <c r="J70" s="43">
        <f>IF($B$8=12,C70,IF($B$8=4,0,IF($B$8=6,C41,IF($B$8=3,0,0))))</f>
        <v>0</v>
      </c>
      <c r="K70" s="68">
        <f>IF($B$8=12,D70,IF($B$8=4,0,IF($B$8=6,D41,IF($B$8=3,0,0))))</f>
        <v>0</v>
      </c>
      <c r="M70" s="4195"/>
      <c r="N70" s="9" t="s">
        <v>27</v>
      </c>
      <c r="O70" s="43">
        <f t="shared" si="8"/>
        <v>0</v>
      </c>
      <c r="P70" s="43">
        <f t="shared" si="8"/>
        <v>0</v>
      </c>
      <c r="Q70" s="44">
        <f t="shared" si="8"/>
        <v>0</v>
      </c>
      <c r="T70" s="234"/>
      <c r="V70" s="51"/>
      <c r="W70" s="51"/>
      <c r="X70" s="51"/>
    </row>
    <row r="71" spans="1:24" ht="15.75" customHeight="1" thickBot="1">
      <c r="A71" s="26">
        <v>60</v>
      </c>
      <c r="B71" s="48">
        <f t="shared" si="0"/>
        <v>0</v>
      </c>
      <c r="C71" s="138">
        <f t="shared" si="2"/>
        <v>0</v>
      </c>
      <c r="D71" s="48">
        <f t="shared" si="3"/>
        <v>0</v>
      </c>
      <c r="E71" s="49">
        <f t="shared" si="4"/>
        <v>0</v>
      </c>
      <c r="G71" s="4196"/>
      <c r="H71" s="38" t="s">
        <v>28</v>
      </c>
      <c r="I71" s="48">
        <f>IF($B$8=12,B71,IF($B$8=4,0,IF($B$8=6,0,IF($B$8=3,0,0))))</f>
        <v>0</v>
      </c>
      <c r="J71" s="48">
        <f>IF($B$8=12,C71,IF($B$8=4,0,IF($B$8=6,0,IF($B$8=3,0,0))))</f>
        <v>0</v>
      </c>
      <c r="K71" s="79">
        <f>IF($B$8=12,D71,IF($B$8=4,0,IF($B$8=6,0,IF($B$8=3,0,0))))</f>
        <v>0</v>
      </c>
      <c r="M71" s="4196"/>
      <c r="N71" s="36" t="s">
        <v>28</v>
      </c>
      <c r="O71" s="48">
        <f t="shared" si="8"/>
        <v>0</v>
      </c>
      <c r="P71" s="48">
        <f t="shared" si="8"/>
        <v>0</v>
      </c>
      <c r="Q71" s="49">
        <f t="shared" si="8"/>
        <v>0</v>
      </c>
      <c r="T71" s="234"/>
      <c r="V71" s="51"/>
      <c r="W71" s="51"/>
      <c r="X71" s="51"/>
    </row>
    <row r="72" spans="1:24" ht="16.5" thickTop="1">
      <c r="A72" s="23">
        <v>61</v>
      </c>
      <c r="B72" s="43">
        <f t="shared" si="0"/>
        <v>0</v>
      </c>
      <c r="C72" s="123">
        <f t="shared" si="2"/>
        <v>0</v>
      </c>
      <c r="D72" s="43">
        <f t="shared" si="3"/>
        <v>0</v>
      </c>
      <c r="E72" s="44">
        <f t="shared" si="4"/>
        <v>0</v>
      </c>
      <c r="H72" s="22" t="s">
        <v>17</v>
      </c>
      <c r="I72" s="43">
        <f t="shared" ref="I72:K83" si="9">IF($B$8=12,B72,IF($B$8=4,0,IF($B$8=6,0,IF($B$8=3,0,0))))</f>
        <v>0</v>
      </c>
      <c r="J72" s="43">
        <f t="shared" si="9"/>
        <v>0</v>
      </c>
      <c r="K72" s="68">
        <f t="shared" si="9"/>
        <v>0</v>
      </c>
      <c r="N72" s="9" t="s">
        <v>17</v>
      </c>
      <c r="O72" s="43">
        <f t="shared" si="8"/>
        <v>0</v>
      </c>
      <c r="P72" s="43">
        <f t="shared" si="8"/>
        <v>0</v>
      </c>
      <c r="Q72" s="44">
        <f t="shared" si="8"/>
        <v>0</v>
      </c>
      <c r="V72" s="51"/>
      <c r="W72" s="51"/>
      <c r="X72" s="51"/>
    </row>
    <row r="73" spans="1:24">
      <c r="A73" s="23">
        <v>62</v>
      </c>
      <c r="B73" s="43">
        <f t="shared" si="0"/>
        <v>0</v>
      </c>
      <c r="C73" s="123">
        <f t="shared" si="2"/>
        <v>0</v>
      </c>
      <c r="D73" s="43">
        <f t="shared" si="3"/>
        <v>0</v>
      </c>
      <c r="E73" s="44">
        <f t="shared" si="4"/>
        <v>0</v>
      </c>
      <c r="H73" s="22" t="s">
        <v>18</v>
      </c>
      <c r="I73" s="43">
        <f t="shared" si="9"/>
        <v>0</v>
      </c>
      <c r="J73" s="43">
        <f t="shared" si="9"/>
        <v>0</v>
      </c>
      <c r="K73" s="68">
        <f t="shared" si="9"/>
        <v>0</v>
      </c>
      <c r="N73" s="9" t="s">
        <v>18</v>
      </c>
      <c r="O73" s="43">
        <f t="shared" si="8"/>
        <v>0</v>
      </c>
      <c r="P73" s="43">
        <f t="shared" si="8"/>
        <v>0</v>
      </c>
      <c r="Q73" s="44">
        <f t="shared" si="8"/>
        <v>0</v>
      </c>
      <c r="V73" s="51"/>
      <c r="W73" s="51"/>
      <c r="X73" s="51"/>
    </row>
    <row r="74" spans="1:24">
      <c r="A74" s="23">
        <v>63</v>
      </c>
      <c r="B74" s="43">
        <f t="shared" si="0"/>
        <v>0</v>
      </c>
      <c r="C74" s="123">
        <f t="shared" si="2"/>
        <v>0</v>
      </c>
      <c r="D74" s="43">
        <f t="shared" si="3"/>
        <v>0</v>
      </c>
      <c r="E74" s="44">
        <f t="shared" si="4"/>
        <v>0</v>
      </c>
      <c r="H74" s="22" t="s">
        <v>19</v>
      </c>
      <c r="I74" s="43">
        <f t="shared" si="9"/>
        <v>0</v>
      </c>
      <c r="J74" s="43">
        <f t="shared" si="9"/>
        <v>0</v>
      </c>
      <c r="K74" s="68">
        <f t="shared" si="9"/>
        <v>0</v>
      </c>
      <c r="N74" s="9" t="s">
        <v>19</v>
      </c>
      <c r="O74" s="43">
        <f t="shared" si="8"/>
        <v>0</v>
      </c>
      <c r="P74" s="43">
        <f t="shared" si="8"/>
        <v>0</v>
      </c>
      <c r="Q74" s="44">
        <f t="shared" si="8"/>
        <v>0</v>
      </c>
      <c r="V74" s="51"/>
      <c r="W74" s="51"/>
      <c r="X74" s="51"/>
    </row>
    <row r="75" spans="1:24">
      <c r="A75" s="23">
        <v>64</v>
      </c>
      <c r="B75" s="43">
        <f t="shared" si="0"/>
        <v>0</v>
      </c>
      <c r="C75" s="123">
        <f t="shared" si="2"/>
        <v>0</v>
      </c>
      <c r="D75" s="43">
        <f t="shared" si="3"/>
        <v>0</v>
      </c>
      <c r="E75" s="44">
        <f t="shared" si="4"/>
        <v>0</v>
      </c>
      <c r="H75" s="22" t="s">
        <v>20</v>
      </c>
      <c r="I75" s="43">
        <f t="shared" si="9"/>
        <v>0</v>
      </c>
      <c r="J75" s="43">
        <f t="shared" si="9"/>
        <v>0</v>
      </c>
      <c r="K75" s="68">
        <f t="shared" si="9"/>
        <v>0</v>
      </c>
      <c r="N75" s="9" t="s">
        <v>20</v>
      </c>
      <c r="O75" s="43">
        <f t="shared" si="8"/>
        <v>0</v>
      </c>
      <c r="P75" s="43">
        <f t="shared" si="8"/>
        <v>0</v>
      </c>
      <c r="Q75" s="44">
        <f t="shared" si="8"/>
        <v>0</v>
      </c>
      <c r="V75" s="51"/>
      <c r="W75" s="51"/>
      <c r="X75" s="51"/>
    </row>
    <row r="76" spans="1:24">
      <c r="A76" s="23">
        <v>65</v>
      </c>
      <c r="B76" s="43">
        <f t="shared" ref="B76:B83" si="10">IF(A76&gt;$I$9,IF(E75&gt;1,PMT($B$6/$B$8,$B$7*$B$8,-$B$5),0),0)</f>
        <v>0</v>
      </c>
      <c r="C76" s="123">
        <f t="shared" si="2"/>
        <v>0</v>
      </c>
      <c r="D76" s="43">
        <f t="shared" si="3"/>
        <v>0</v>
      </c>
      <c r="E76" s="44">
        <f t="shared" si="4"/>
        <v>0</v>
      </c>
      <c r="H76" s="22" t="s">
        <v>21</v>
      </c>
      <c r="I76" s="43">
        <f t="shared" si="9"/>
        <v>0</v>
      </c>
      <c r="J76" s="43">
        <f t="shared" si="9"/>
        <v>0</v>
      </c>
      <c r="K76" s="68">
        <f t="shared" si="9"/>
        <v>0</v>
      </c>
      <c r="N76" s="9" t="s">
        <v>21</v>
      </c>
      <c r="O76" s="43">
        <f t="shared" ref="O76:Q83" si="11">IF($I$6=5,I28,IF($I$6=4,I40,IF($I$6=3,I52,IF($I$6=2,I64,IF($I$6=1,I76,0)))))</f>
        <v>0</v>
      </c>
      <c r="P76" s="43">
        <f t="shared" si="11"/>
        <v>0</v>
      </c>
      <c r="Q76" s="44">
        <f t="shared" si="11"/>
        <v>0</v>
      </c>
      <c r="V76" s="51"/>
      <c r="W76" s="51"/>
      <c r="X76" s="51"/>
    </row>
    <row r="77" spans="1:24">
      <c r="A77" s="23">
        <v>66</v>
      </c>
      <c r="B77" s="43">
        <f t="shared" si="10"/>
        <v>0</v>
      </c>
      <c r="C77" s="123">
        <f t="shared" ref="C77:C83" si="12">IF(B77&gt;0,B77-D77,E77*($B$6/$B$8))</f>
        <v>0</v>
      </c>
      <c r="D77" s="43">
        <f t="shared" ref="D77:D83" si="13">IF(A77&gt;$I$9,B77-(E76*($B$6/$B$8)),0)</f>
        <v>0</v>
      </c>
      <c r="E77" s="44">
        <f t="shared" ref="E77:E83" si="14">IF((E76-D77)&gt;0,E76-D77,0)</f>
        <v>0</v>
      </c>
      <c r="H77" s="22" t="s">
        <v>22</v>
      </c>
      <c r="I77" s="43">
        <f t="shared" si="9"/>
        <v>0</v>
      </c>
      <c r="J77" s="43">
        <f t="shared" si="9"/>
        <v>0</v>
      </c>
      <c r="K77" s="68">
        <f t="shared" si="9"/>
        <v>0</v>
      </c>
      <c r="N77" s="9" t="s">
        <v>22</v>
      </c>
      <c r="O77" s="43">
        <f t="shared" si="11"/>
        <v>0</v>
      </c>
      <c r="P77" s="43">
        <f t="shared" si="11"/>
        <v>0</v>
      </c>
      <c r="Q77" s="44">
        <f t="shared" si="11"/>
        <v>0</v>
      </c>
      <c r="V77" s="51"/>
      <c r="W77" s="51"/>
      <c r="X77" s="51"/>
    </row>
    <row r="78" spans="1:24">
      <c r="A78" s="23">
        <v>67</v>
      </c>
      <c r="B78" s="43">
        <f t="shared" si="10"/>
        <v>0</v>
      </c>
      <c r="C78" s="123">
        <f t="shared" si="12"/>
        <v>0</v>
      </c>
      <c r="D78" s="43">
        <f t="shared" si="13"/>
        <v>0</v>
      </c>
      <c r="E78" s="44">
        <f t="shared" si="14"/>
        <v>0</v>
      </c>
      <c r="H78" s="22" t="s">
        <v>23</v>
      </c>
      <c r="I78" s="43">
        <f t="shared" si="9"/>
        <v>0</v>
      </c>
      <c r="J78" s="43">
        <f t="shared" si="9"/>
        <v>0</v>
      </c>
      <c r="K78" s="68">
        <f t="shared" si="9"/>
        <v>0</v>
      </c>
      <c r="N78" s="9" t="s">
        <v>23</v>
      </c>
      <c r="O78" s="43">
        <f t="shared" si="11"/>
        <v>0</v>
      </c>
      <c r="P78" s="43">
        <f t="shared" si="11"/>
        <v>0</v>
      </c>
      <c r="Q78" s="44">
        <f t="shared" si="11"/>
        <v>0</v>
      </c>
      <c r="V78" s="51"/>
      <c r="W78" s="51"/>
      <c r="X78" s="51"/>
    </row>
    <row r="79" spans="1:24">
      <c r="A79" s="23">
        <v>68</v>
      </c>
      <c r="B79" s="43">
        <f t="shared" si="10"/>
        <v>0</v>
      </c>
      <c r="C79" s="123">
        <f t="shared" si="12"/>
        <v>0</v>
      </c>
      <c r="D79" s="43">
        <f t="shared" si="13"/>
        <v>0</v>
      </c>
      <c r="E79" s="44">
        <f t="shared" si="14"/>
        <v>0</v>
      </c>
      <c r="H79" s="22" t="s">
        <v>24</v>
      </c>
      <c r="I79" s="43">
        <f t="shared" si="9"/>
        <v>0</v>
      </c>
      <c r="J79" s="43">
        <f t="shared" si="9"/>
        <v>0</v>
      </c>
      <c r="K79" s="68">
        <f t="shared" si="9"/>
        <v>0</v>
      </c>
      <c r="N79" s="9" t="s">
        <v>24</v>
      </c>
      <c r="O79" s="43">
        <f t="shared" si="11"/>
        <v>0</v>
      </c>
      <c r="P79" s="43">
        <f t="shared" si="11"/>
        <v>0</v>
      </c>
      <c r="Q79" s="44">
        <f t="shared" si="11"/>
        <v>0</v>
      </c>
      <c r="V79" s="51"/>
      <c r="W79" s="51"/>
      <c r="X79" s="51"/>
    </row>
    <row r="80" spans="1:24">
      <c r="A80" s="23">
        <v>69</v>
      </c>
      <c r="B80" s="43">
        <f t="shared" si="10"/>
        <v>0</v>
      </c>
      <c r="C80" s="123">
        <f t="shared" si="12"/>
        <v>0</v>
      </c>
      <c r="D80" s="43">
        <f t="shared" si="13"/>
        <v>0</v>
      </c>
      <c r="E80" s="44">
        <f t="shared" si="14"/>
        <v>0</v>
      </c>
      <c r="H80" s="22" t="s">
        <v>25</v>
      </c>
      <c r="I80" s="43">
        <f t="shared" si="9"/>
        <v>0</v>
      </c>
      <c r="J80" s="43">
        <f t="shared" si="9"/>
        <v>0</v>
      </c>
      <c r="K80" s="68">
        <f t="shared" si="9"/>
        <v>0</v>
      </c>
      <c r="N80" s="9" t="s">
        <v>25</v>
      </c>
      <c r="O80" s="43">
        <f t="shared" si="11"/>
        <v>0</v>
      </c>
      <c r="P80" s="43">
        <f t="shared" si="11"/>
        <v>0</v>
      </c>
      <c r="Q80" s="44">
        <f t="shared" si="11"/>
        <v>0</v>
      </c>
      <c r="V80" s="51"/>
      <c r="W80" s="51"/>
      <c r="X80" s="51"/>
    </row>
    <row r="81" spans="1:24">
      <c r="A81" s="23">
        <v>70</v>
      </c>
      <c r="B81" s="43">
        <f t="shared" si="10"/>
        <v>0</v>
      </c>
      <c r="C81" s="123">
        <f t="shared" si="12"/>
        <v>0</v>
      </c>
      <c r="D81" s="43">
        <f t="shared" si="13"/>
        <v>0</v>
      </c>
      <c r="E81" s="44">
        <f t="shared" si="14"/>
        <v>0</v>
      </c>
      <c r="H81" s="22" t="s">
        <v>26</v>
      </c>
      <c r="I81" s="43">
        <f t="shared" si="9"/>
        <v>0</v>
      </c>
      <c r="J81" s="43">
        <f t="shared" si="9"/>
        <v>0</v>
      </c>
      <c r="K81" s="68">
        <f t="shared" si="9"/>
        <v>0</v>
      </c>
      <c r="N81" s="9" t="s">
        <v>26</v>
      </c>
      <c r="O81" s="43">
        <f t="shared" si="11"/>
        <v>0</v>
      </c>
      <c r="P81" s="43">
        <f t="shared" si="11"/>
        <v>0</v>
      </c>
      <c r="Q81" s="44">
        <f t="shared" si="11"/>
        <v>0</v>
      </c>
      <c r="V81" s="51"/>
      <c r="W81" s="51"/>
      <c r="X81" s="51"/>
    </row>
    <row r="82" spans="1:24">
      <c r="A82" s="23">
        <v>71</v>
      </c>
      <c r="B82" s="43">
        <f t="shared" si="10"/>
        <v>0</v>
      </c>
      <c r="C82" s="123">
        <f t="shared" si="12"/>
        <v>0</v>
      </c>
      <c r="D82" s="43">
        <f t="shared" si="13"/>
        <v>0</v>
      </c>
      <c r="E82" s="44">
        <f t="shared" si="14"/>
        <v>0</v>
      </c>
      <c r="H82" s="22" t="s">
        <v>27</v>
      </c>
      <c r="I82" s="43">
        <f t="shared" si="9"/>
        <v>0</v>
      </c>
      <c r="J82" s="43">
        <f t="shared" si="9"/>
        <v>0</v>
      </c>
      <c r="K82" s="68">
        <f t="shared" si="9"/>
        <v>0</v>
      </c>
      <c r="N82" s="9" t="s">
        <v>27</v>
      </c>
      <c r="O82" s="43">
        <f t="shared" si="11"/>
        <v>0</v>
      </c>
      <c r="P82" s="43">
        <f t="shared" si="11"/>
        <v>0</v>
      </c>
      <c r="Q82" s="44">
        <f t="shared" si="11"/>
        <v>0</v>
      </c>
      <c r="V82" s="51"/>
      <c r="W82" s="51"/>
      <c r="X82" s="51"/>
    </row>
    <row r="83" spans="1:24" ht="16.5" thickBot="1">
      <c r="A83" s="26">
        <v>72</v>
      </c>
      <c r="B83" s="48">
        <f t="shared" si="10"/>
        <v>0</v>
      </c>
      <c r="C83" s="138">
        <f t="shared" si="12"/>
        <v>0</v>
      </c>
      <c r="D83" s="48">
        <f t="shared" si="13"/>
        <v>0</v>
      </c>
      <c r="E83" s="49">
        <f t="shared" si="14"/>
        <v>0</v>
      </c>
      <c r="H83" s="38" t="s">
        <v>28</v>
      </c>
      <c r="I83" s="48">
        <f t="shared" si="9"/>
        <v>0</v>
      </c>
      <c r="J83" s="48">
        <f t="shared" si="9"/>
        <v>0</v>
      </c>
      <c r="K83" s="79">
        <f t="shared" si="9"/>
        <v>0</v>
      </c>
      <c r="N83" s="36" t="s">
        <v>28</v>
      </c>
      <c r="O83" s="48">
        <f t="shared" si="11"/>
        <v>0</v>
      </c>
      <c r="P83" s="48">
        <f t="shared" si="11"/>
        <v>0</v>
      </c>
      <c r="Q83" s="49">
        <f t="shared" si="11"/>
        <v>0</v>
      </c>
      <c r="V83" s="51"/>
      <c r="W83" s="51"/>
      <c r="X83" s="51"/>
    </row>
    <row r="84" spans="1:24" ht="16.5" thickTop="1"/>
  </sheetData>
  <sheetProtection password="C85D" sheet="1"/>
  <mergeCells count="10">
    <mergeCell ref="G48:G59"/>
    <mergeCell ref="M48:M59"/>
    <mergeCell ref="G60:G71"/>
    <mergeCell ref="M60:M71"/>
    <mergeCell ref="G12:G23"/>
    <mergeCell ref="M12:M23"/>
    <mergeCell ref="G24:G35"/>
    <mergeCell ref="M24:M35"/>
    <mergeCell ref="G36:G47"/>
    <mergeCell ref="M36:M47"/>
  </mergeCells>
  <dataValidations count="3">
    <dataValidation type="decimal" allowBlank="1" showErrorMessage="1" sqref="B9">
      <formula1>0</formula1>
      <formula2>12</formula2>
    </dataValidation>
    <dataValidation type="whole" allowBlank="1" showInputMessage="1" showErrorMessage="1" prompt="12 - Pago mensual_x000a_  6 - Pago bimestral_x000a_  4 - Pago trimestral_x000a_  3 - Pago cuatrimestral_x000a_  2 - Pago semestral_x000a_  1 - Pago anual" sqref="B8">
      <formula1>1</formula1>
      <formula2>12</formula2>
    </dataValidation>
    <dataValidation allowBlank="1" showInputMessage="1" showErrorMessage="1" error="Solo valores enteros comprendidos entre 1 y 5" sqref="I6"/>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workbookViewId="0">
      <selection activeCell="I7" sqref="I7"/>
    </sheetView>
  </sheetViews>
  <sheetFormatPr baseColWidth="10" defaultColWidth="11.1640625" defaultRowHeight="15.75"/>
  <cols>
    <col min="1" max="1" width="24" style="9" customWidth="1"/>
    <col min="2" max="3" width="18.33203125" style="9" customWidth="1"/>
    <col min="4" max="4" width="20.1640625" style="9" bestFit="1" customWidth="1"/>
    <col min="5" max="5" width="21.83203125" style="9" customWidth="1"/>
    <col min="6" max="6" width="7" style="9" customWidth="1"/>
    <col min="7" max="7" width="3.83203125" style="9" customWidth="1"/>
    <col min="8" max="8" width="26.1640625" style="9" customWidth="1"/>
    <col min="9" max="9" width="18" style="9" customWidth="1"/>
    <col min="10" max="10" width="18.33203125" style="9" customWidth="1"/>
    <col min="11" max="11" width="20.83203125" style="9" customWidth="1"/>
    <col min="12" max="12" width="7" style="9" customWidth="1"/>
    <col min="13" max="13" width="3.83203125" style="9" customWidth="1"/>
    <col min="14" max="14" width="19.33203125" style="9" customWidth="1"/>
    <col min="15" max="16" width="18.33203125" style="9" customWidth="1"/>
    <col min="17" max="17" width="20.83203125" style="9" customWidth="1"/>
    <col min="18" max="18" width="21" style="9" customWidth="1"/>
    <col min="19" max="16384" width="11.1640625" style="9"/>
  </cols>
  <sheetData>
    <row r="1" spans="1:18" ht="39.950000000000003" customHeight="1" thickBot="1">
      <c r="A1" s="8" t="s">
        <v>123</v>
      </c>
      <c r="D1" s="96"/>
      <c r="E1" s="96"/>
      <c r="F1" s="96"/>
    </row>
    <row r="2" spans="1:18" ht="39.950000000000003" customHeight="1" thickTop="1" thickBot="1">
      <c r="A2" s="39"/>
      <c r="N2" s="17" t="s">
        <v>68</v>
      </c>
      <c r="O2" s="31" t="s">
        <v>14</v>
      </c>
      <c r="P2" s="31" t="s">
        <v>66</v>
      </c>
      <c r="Q2" s="33" t="s">
        <v>67</v>
      </c>
      <c r="R2" s="32" t="s">
        <v>15</v>
      </c>
    </row>
    <row r="3" spans="1:18" ht="20.100000000000001" customHeight="1" thickTop="1">
      <c r="A3" s="8" t="s">
        <v>371</v>
      </c>
      <c r="G3" s="39"/>
      <c r="N3" s="27">
        <v>2015</v>
      </c>
      <c r="O3" s="41">
        <f>SUM(O12:O23)</f>
        <v>0</v>
      </c>
      <c r="P3" s="41">
        <f>SUM(P12:P23)</f>
        <v>0</v>
      </c>
      <c r="Q3" s="41">
        <f>SUM(Q12:Q23)</f>
        <v>0</v>
      </c>
      <c r="R3" s="44">
        <f>IF($I$6=1,$B$5-Q3,0)</f>
        <v>0</v>
      </c>
    </row>
    <row r="4" spans="1:18" ht="20.100000000000001" customHeight="1" thickBot="1">
      <c r="N4" s="28">
        <v>2016</v>
      </c>
      <c r="O4" s="43">
        <f>SUM(O24:O35)</f>
        <v>0</v>
      </c>
      <c r="P4" s="43">
        <f>SUM(P24:P35)</f>
        <v>0</v>
      </c>
      <c r="Q4" s="43">
        <f>SUM(Q24:Q35)</f>
        <v>0</v>
      </c>
      <c r="R4" s="44">
        <f>IF($I$6=1,$B$5-(Q3+Q4),IF($I$6=2,$B$5-Q4,0))</f>
        <v>0</v>
      </c>
    </row>
    <row r="5" spans="1:18" ht="20.100000000000001" customHeight="1" thickTop="1" thickBot="1">
      <c r="A5" s="10" t="s">
        <v>54</v>
      </c>
      <c r="B5" s="124">
        <f>'(0) 3a. Préstam Particip.'!J17</f>
        <v>0</v>
      </c>
      <c r="C5" s="96"/>
      <c r="N5" s="28">
        <v>2017</v>
      </c>
      <c r="O5" s="43">
        <f>SUM(O36:O47)</f>
        <v>0</v>
      </c>
      <c r="P5" s="43">
        <f>SUM(P36:P47)</f>
        <v>0</v>
      </c>
      <c r="Q5" s="43">
        <f>SUM(Q36:Q47)</f>
        <v>0</v>
      </c>
      <c r="R5" s="44">
        <f>IF($I$6=1,$B$5-(Q3+Q4+Q5),IF($I$6=2,$B$5-(Q4+Q5),IF($I$6=3,$B$5-(Q5),0)))</f>
        <v>0</v>
      </c>
    </row>
    <row r="6" spans="1:18" ht="20.100000000000001" customHeight="1" thickBot="1">
      <c r="A6" s="11" t="s">
        <v>9</v>
      </c>
      <c r="B6" s="125">
        <f>'(0) 3a. Préstam Particip.'!J18</f>
        <v>0.05</v>
      </c>
      <c r="C6" s="96"/>
      <c r="D6" s="106"/>
      <c r="E6" s="12" t="s">
        <v>70</v>
      </c>
      <c r="F6" s="13"/>
      <c r="G6" s="14"/>
      <c r="H6" s="14"/>
      <c r="I6" s="129" t="str">
        <f>IF('(0) 3a. Préstam Particip.'!J17&gt;0,1,"")</f>
        <v/>
      </c>
      <c r="J6" s="15" t="s">
        <v>75</v>
      </c>
      <c r="N6" s="28">
        <v>2018</v>
      </c>
      <c r="O6" s="43">
        <f>SUM(O48:O59)</f>
        <v>0</v>
      </c>
      <c r="P6" s="43">
        <f>IF(SUM(P48:P59)&lt;&gt;0,SUM(P48:P59),0)</f>
        <v>0</v>
      </c>
      <c r="Q6" s="43">
        <f>SUM(Q48:Q59)</f>
        <v>0</v>
      </c>
      <c r="R6" s="44">
        <f>IF($I$6=1,$B$5-(Q3+Q4+Q5+Q6),IF($I$6=2,$B$5-(Q4+Q5+Q6),IF($I$6=3,$B$5-(Q5+Q6),IF($I$6=4,$B$5-Q6,0))))</f>
        <v>0</v>
      </c>
    </row>
    <row r="7" spans="1:18" ht="20.100000000000001" customHeight="1" thickBot="1">
      <c r="A7" s="11" t="s">
        <v>10</v>
      </c>
      <c r="B7" s="126">
        <f>'(0) 3a. Préstam Particip.'!J19</f>
        <v>4</v>
      </c>
      <c r="C7" s="96"/>
      <c r="N7" s="29">
        <v>2019</v>
      </c>
      <c r="O7" s="48">
        <f>SUM(O60:O71)</f>
        <v>0</v>
      </c>
      <c r="P7" s="48">
        <f>SUM(P60:P71)</f>
        <v>0</v>
      </c>
      <c r="Q7" s="48">
        <f>SUM(Q60:Q71)</f>
        <v>0</v>
      </c>
      <c r="R7" s="49">
        <f>IF($I$6=1,$B$5-(Q3+Q4+Q5+Q6+Q7),IF($I$6=2,$B$5-(Q4+Q5+Q6+Q7),IF($I$6=3,$B$5-(Q5+Q6+Q7),IF($I$6=4,$B$5-(Q6+Q7),IF($I$6=5,$B$5-Q7,0)))))</f>
        <v>0</v>
      </c>
    </row>
    <row r="8" spans="1:18" ht="20.100000000000001" customHeight="1" thickTop="1" thickBot="1">
      <c r="A8" s="11" t="s">
        <v>12</v>
      </c>
      <c r="B8" s="126">
        <f>'(0) 3a. Préstam Particip.'!J20</f>
        <v>4</v>
      </c>
      <c r="C8" s="96"/>
      <c r="N8" s="29">
        <v>2020</v>
      </c>
      <c r="O8" s="48">
        <f>SUM(O72:O83)</f>
        <v>0</v>
      </c>
      <c r="P8" s="48">
        <f>SUM(P72:P83)</f>
        <v>0</v>
      </c>
      <c r="Q8" s="48">
        <f>SUM(Q72:Q83)</f>
        <v>0</v>
      </c>
      <c r="R8" s="49">
        <f>IF($I$6=1,$B$5-(Q3+Q4+Q5+Q6+Q7+Q8),IF($I$6=2,$B$5-(Q4+Q5+Q6+Q7+Q8),IF($I$6=3,$B$5-(Q5+Q6+Q7+Q8),IF($I$6=4,$B$5-(Q6+Q7+Q8),IF($I$6=5,$B$5-(Q7+Q8),IF($I$6=6,$B$5-(Q8),0))))))</f>
        <v>0</v>
      </c>
    </row>
    <row r="9" spans="1:18" ht="20.100000000000001" customHeight="1" thickTop="1" thickBot="1">
      <c r="A9" s="16"/>
      <c r="B9" s="127"/>
      <c r="C9" s="96"/>
      <c r="D9" s="108" t="s">
        <v>82</v>
      </c>
      <c r="E9" s="231">
        <f>'(0) 3a. Préstam Particip.'!J22*0</f>
        <v>0</v>
      </c>
      <c r="H9" s="108" t="s">
        <v>97</v>
      </c>
      <c r="I9" s="128">
        <f>'(0) 3a. Préstam Particip.'!J21</f>
        <v>0</v>
      </c>
    </row>
    <row r="10" spans="1:18" ht="20.100000000000001" customHeight="1" thickTop="1" thickBot="1"/>
    <row r="11" spans="1:18" ht="33" customHeight="1" thickTop="1" thickBot="1">
      <c r="A11" s="17" t="s">
        <v>13</v>
      </c>
      <c r="B11" s="31" t="s">
        <v>14</v>
      </c>
      <c r="C11" s="18" t="s">
        <v>11</v>
      </c>
      <c r="D11" s="18" t="s">
        <v>6</v>
      </c>
      <c r="E11" s="19" t="s">
        <v>15</v>
      </c>
      <c r="F11" s="20"/>
      <c r="H11" s="17" t="s">
        <v>42</v>
      </c>
      <c r="I11" s="31" t="s">
        <v>14</v>
      </c>
      <c r="J11" s="31" t="s">
        <v>66</v>
      </c>
      <c r="K11" s="32" t="s">
        <v>67</v>
      </c>
      <c r="L11" s="20"/>
      <c r="M11" s="30"/>
      <c r="N11" s="17" t="s">
        <v>42</v>
      </c>
      <c r="O11" s="31" t="s">
        <v>14</v>
      </c>
      <c r="P11" s="31" t="s">
        <v>66</v>
      </c>
      <c r="Q11" s="32" t="s">
        <v>67</v>
      </c>
    </row>
    <row r="12" spans="1:18" ht="15.75" customHeight="1" thickTop="1">
      <c r="A12" s="21">
        <v>1</v>
      </c>
      <c r="B12" s="43">
        <f t="shared" ref="B12:B75" si="0">IF(A12&gt;$I$9,IF(E11&gt;1,PMT($B$6/$B$8,$B$7*$B$8,-$B$5),0),0)</f>
        <v>0</v>
      </c>
      <c r="C12" s="122">
        <f>IF(B12&gt;0,B12-D12,E12*($B$6/$B$8))+E9</f>
        <v>0</v>
      </c>
      <c r="D12" s="41">
        <f>IF(A12&gt;$I$9,B12-($B$5*($B$6/$B$8)),0)</f>
        <v>0</v>
      </c>
      <c r="E12" s="67">
        <f>$B$5-D12</f>
        <v>0</v>
      </c>
      <c r="G12" s="4194">
        <v>2015</v>
      </c>
      <c r="H12" s="34" t="s">
        <v>17</v>
      </c>
      <c r="I12" s="41">
        <f>$B$12</f>
        <v>0</v>
      </c>
      <c r="J12" s="41">
        <f>C12</f>
        <v>0</v>
      </c>
      <c r="K12" s="67">
        <f>D12</f>
        <v>0</v>
      </c>
      <c r="M12" s="4194">
        <v>2015</v>
      </c>
      <c r="N12" s="34" t="s">
        <v>17</v>
      </c>
      <c r="O12" s="41">
        <f t="shared" ref="O12:Q23" si="1">IF($I$6=1,I12,0)</f>
        <v>0</v>
      </c>
      <c r="P12" s="41">
        <f t="shared" si="1"/>
        <v>0</v>
      </c>
      <c r="Q12" s="42">
        <f t="shared" si="1"/>
        <v>0</v>
      </c>
    </row>
    <row r="13" spans="1:18" ht="15.75" customHeight="1">
      <c r="A13" s="23">
        <v>2</v>
      </c>
      <c r="B13" s="43">
        <f t="shared" si="0"/>
        <v>0</v>
      </c>
      <c r="C13" s="123">
        <f t="shared" ref="C13:C76" si="2">IF(B13&gt;0,B13-D13,E13*($B$6/$B$8))</f>
        <v>0</v>
      </c>
      <c r="D13" s="43">
        <f t="shared" ref="D13:D76" si="3">IF(A13&gt;$I$9,B13-(E12*($B$6/$B$8)),0)</f>
        <v>0</v>
      </c>
      <c r="E13" s="68">
        <f t="shared" ref="E13:E76" si="4">IF((E12-D13)&gt;0,E12-D13,0)</f>
        <v>0</v>
      </c>
      <c r="G13" s="4195"/>
      <c r="H13" s="9" t="s">
        <v>18</v>
      </c>
      <c r="I13" s="43">
        <f>IF($B$8=12,B13,0)</f>
        <v>0</v>
      </c>
      <c r="J13" s="43">
        <f>IF($B$8=12,C13,0)</f>
        <v>0</v>
      </c>
      <c r="K13" s="68">
        <f>IF($B$8=12,D13,0)</f>
        <v>0</v>
      </c>
      <c r="M13" s="4195"/>
      <c r="N13" s="9" t="s">
        <v>18</v>
      </c>
      <c r="O13" s="43">
        <f t="shared" si="1"/>
        <v>0</v>
      </c>
      <c r="P13" s="43">
        <f t="shared" si="1"/>
        <v>0</v>
      </c>
      <c r="Q13" s="44">
        <f t="shared" si="1"/>
        <v>0</v>
      </c>
    </row>
    <row r="14" spans="1:18" ht="15.75" customHeight="1">
      <c r="A14" s="23">
        <v>3</v>
      </c>
      <c r="B14" s="43">
        <f t="shared" si="0"/>
        <v>0</v>
      </c>
      <c r="C14" s="123">
        <f t="shared" si="2"/>
        <v>0</v>
      </c>
      <c r="D14" s="43">
        <f t="shared" si="3"/>
        <v>0</v>
      </c>
      <c r="E14" s="68">
        <f t="shared" si="4"/>
        <v>0</v>
      </c>
      <c r="G14" s="4195"/>
      <c r="H14" s="9" t="s">
        <v>19</v>
      </c>
      <c r="I14" s="43">
        <f>IF($B$8=12,B14,IF($B$8=6,B13,0))</f>
        <v>0</v>
      </c>
      <c r="J14" s="43">
        <f>IF($B$8=12,C14,IF($B$8=6,C13,0))</f>
        <v>0</v>
      </c>
      <c r="K14" s="68">
        <f>IF($B$8=12,D14,IF($B$8=6,D13,0))</f>
        <v>0</v>
      </c>
      <c r="M14" s="4195"/>
      <c r="N14" s="9" t="s">
        <v>19</v>
      </c>
      <c r="O14" s="43">
        <f t="shared" si="1"/>
        <v>0</v>
      </c>
      <c r="P14" s="43">
        <f t="shared" si="1"/>
        <v>0</v>
      </c>
      <c r="Q14" s="44">
        <f t="shared" si="1"/>
        <v>0</v>
      </c>
    </row>
    <row r="15" spans="1:18" ht="15.75" customHeight="1">
      <c r="A15" s="23">
        <v>4</v>
      </c>
      <c r="B15" s="43">
        <f t="shared" si="0"/>
        <v>0</v>
      </c>
      <c r="C15" s="123">
        <f t="shared" si="2"/>
        <v>0</v>
      </c>
      <c r="D15" s="43">
        <f t="shared" si="3"/>
        <v>0</v>
      </c>
      <c r="E15" s="68">
        <f t="shared" si="4"/>
        <v>0</v>
      </c>
      <c r="G15" s="4195"/>
      <c r="H15" s="9" t="s">
        <v>20</v>
      </c>
      <c r="I15" s="43">
        <f>IF($B$8=12,B15,IF($B$8=4,B13,IF($B$8=6,0,IF($B$8=3,0,0))))</f>
        <v>0</v>
      </c>
      <c r="J15" s="43">
        <f>IF($B$8=12,C15,IF($B$8=4,C13,IF($B$8=6,0,IF($B$8=3,0,0))))</f>
        <v>0</v>
      </c>
      <c r="K15" s="68">
        <f>IF($B$8=12,D15,IF($B$8=4,D13,IF($B$8=6,0,IF($B$8=3,0,0))))</f>
        <v>0</v>
      </c>
      <c r="M15" s="4195"/>
      <c r="N15" s="9" t="s">
        <v>20</v>
      </c>
      <c r="O15" s="43">
        <f t="shared" si="1"/>
        <v>0</v>
      </c>
      <c r="P15" s="43">
        <f t="shared" si="1"/>
        <v>0</v>
      </c>
      <c r="Q15" s="44">
        <f t="shared" si="1"/>
        <v>0</v>
      </c>
    </row>
    <row r="16" spans="1:18" ht="15.75" customHeight="1">
      <c r="A16" s="23">
        <v>5</v>
      </c>
      <c r="B16" s="43">
        <f t="shared" si="0"/>
        <v>0</v>
      </c>
      <c r="C16" s="123">
        <f t="shared" si="2"/>
        <v>0</v>
      </c>
      <c r="D16" s="43">
        <f t="shared" si="3"/>
        <v>0</v>
      </c>
      <c r="E16" s="68">
        <f t="shared" si="4"/>
        <v>0</v>
      </c>
      <c r="G16" s="4195"/>
      <c r="H16" s="9" t="s">
        <v>21</v>
      </c>
      <c r="I16" s="43">
        <f>IF($B$8=12,B16,IF($B$8=4,0,IF($B$8=6,B14,IF($B$8=3,B13,0))))</f>
        <v>0</v>
      </c>
      <c r="J16" s="43">
        <f>IF($B$8=12,C16,IF($B$8=4,0,IF($B$8=6,C14,IF($B$8=3,C13,0))))</f>
        <v>0</v>
      </c>
      <c r="K16" s="68">
        <f>IF($B$8=12,D16,IF($B$8=4,0,IF($B$8=6,D14,IF($B$8=3,D13,0))))</f>
        <v>0</v>
      </c>
      <c r="M16" s="4195"/>
      <c r="N16" s="9" t="s">
        <v>21</v>
      </c>
      <c r="O16" s="43">
        <f t="shared" si="1"/>
        <v>0</v>
      </c>
      <c r="P16" s="43">
        <f t="shared" si="1"/>
        <v>0</v>
      </c>
      <c r="Q16" s="44">
        <f t="shared" si="1"/>
        <v>0</v>
      </c>
    </row>
    <row r="17" spans="1:17" ht="15.75" customHeight="1">
      <c r="A17" s="23">
        <v>6</v>
      </c>
      <c r="B17" s="43">
        <f t="shared" si="0"/>
        <v>0</v>
      </c>
      <c r="C17" s="123">
        <f t="shared" si="2"/>
        <v>0</v>
      </c>
      <c r="D17" s="43">
        <f t="shared" si="3"/>
        <v>0</v>
      </c>
      <c r="E17" s="68">
        <f t="shared" si="4"/>
        <v>0</v>
      </c>
      <c r="G17" s="4195"/>
      <c r="H17" s="9" t="s">
        <v>22</v>
      </c>
      <c r="I17" s="43">
        <f>IF($B$8=12,B17,IF($B$8=4,0,IF($B$8=6,0,IF($B$8=3,0,0))))</f>
        <v>0</v>
      </c>
      <c r="J17" s="43">
        <f>IF($B$8=12,C17,IF($B$8=4,0,IF($B$8=6,0,IF($B$8=3,0,0))))</f>
        <v>0</v>
      </c>
      <c r="K17" s="68">
        <f>IF($B$8=12,D17,IF($B$8=4,0,IF($B$8=6,0,IF($B$8=3,0,0))))</f>
        <v>0</v>
      </c>
      <c r="M17" s="4195"/>
      <c r="N17" s="9" t="s">
        <v>22</v>
      </c>
      <c r="O17" s="43">
        <f t="shared" si="1"/>
        <v>0</v>
      </c>
      <c r="P17" s="43">
        <f t="shared" si="1"/>
        <v>0</v>
      </c>
      <c r="Q17" s="44">
        <f t="shared" si="1"/>
        <v>0</v>
      </c>
    </row>
    <row r="18" spans="1:17" ht="15.75" customHeight="1">
      <c r="A18" s="23">
        <v>7</v>
      </c>
      <c r="B18" s="43">
        <f t="shared" si="0"/>
        <v>0</v>
      </c>
      <c r="C18" s="123">
        <f t="shared" si="2"/>
        <v>0</v>
      </c>
      <c r="D18" s="43">
        <f t="shared" si="3"/>
        <v>0</v>
      </c>
      <c r="E18" s="68">
        <f t="shared" si="4"/>
        <v>0</v>
      </c>
      <c r="G18" s="4195"/>
      <c r="H18" s="9" t="s">
        <v>23</v>
      </c>
      <c r="I18" s="43">
        <f>IF($B$8=12,B18,IF($B$8=4,B14,IF($B$8=6,B15,IF($B$8=3,0,IF($B$8=2,B13,0)))))</f>
        <v>0</v>
      </c>
      <c r="J18" s="43">
        <f>IF($B$8=12,C18,IF($B$8=4,C14,IF($B$8=6,C15,IF($B$8=3,0,IF($B$8=2,C13,0)))))</f>
        <v>0</v>
      </c>
      <c r="K18" s="68">
        <f>IF($B$8=12,D18,IF($B$8=4,D14,IF($B$8=6,D15,IF($B$8=3,0,IF($B$8=2,D13,0)))))</f>
        <v>0</v>
      </c>
      <c r="M18" s="4195"/>
      <c r="N18" s="9" t="s">
        <v>23</v>
      </c>
      <c r="O18" s="43">
        <f t="shared" si="1"/>
        <v>0</v>
      </c>
      <c r="P18" s="43">
        <f t="shared" si="1"/>
        <v>0</v>
      </c>
      <c r="Q18" s="44">
        <f t="shared" si="1"/>
        <v>0</v>
      </c>
    </row>
    <row r="19" spans="1:17" ht="15.75" customHeight="1">
      <c r="A19" s="23">
        <v>8</v>
      </c>
      <c r="B19" s="43">
        <f t="shared" si="0"/>
        <v>0</v>
      </c>
      <c r="C19" s="123">
        <f t="shared" si="2"/>
        <v>0</v>
      </c>
      <c r="D19" s="43">
        <f t="shared" si="3"/>
        <v>0</v>
      </c>
      <c r="E19" s="68">
        <f t="shared" si="4"/>
        <v>0</v>
      </c>
      <c r="G19" s="4195"/>
      <c r="H19" s="9" t="s">
        <v>24</v>
      </c>
      <c r="I19" s="43">
        <f>IF($B$8=12,B19,IF($B$8=4,0,IF($B$8=6,0,IF($B$8=3,0,0))))</f>
        <v>0</v>
      </c>
      <c r="J19" s="43">
        <f>IF($B$8=12,C19,IF($B$8=4,0,IF($B$8=6,0,IF($B$8=3,0,0))))</f>
        <v>0</v>
      </c>
      <c r="K19" s="68">
        <f>IF($B$8=12,D19,IF($B$8=4,0,IF($B$8=6,0,IF($B$8=3,0,0))))</f>
        <v>0</v>
      </c>
      <c r="M19" s="4195"/>
      <c r="N19" s="9" t="s">
        <v>24</v>
      </c>
      <c r="O19" s="43">
        <f t="shared" si="1"/>
        <v>0</v>
      </c>
      <c r="P19" s="43">
        <f t="shared" si="1"/>
        <v>0</v>
      </c>
      <c r="Q19" s="44">
        <f t="shared" si="1"/>
        <v>0</v>
      </c>
    </row>
    <row r="20" spans="1:17" ht="15.75" customHeight="1">
      <c r="A20" s="23">
        <v>9</v>
      </c>
      <c r="B20" s="43">
        <f t="shared" si="0"/>
        <v>0</v>
      </c>
      <c r="C20" s="123">
        <f t="shared" si="2"/>
        <v>0</v>
      </c>
      <c r="D20" s="43">
        <f t="shared" si="3"/>
        <v>0</v>
      </c>
      <c r="E20" s="68">
        <f t="shared" si="4"/>
        <v>0</v>
      </c>
      <c r="G20" s="4195"/>
      <c r="H20" s="9" t="s">
        <v>25</v>
      </c>
      <c r="I20" s="43">
        <f>IF($B$8=12,B20,IF($B$8=4,0,IF($B$8=6,B16,IF($B$8=3,B14,0))))</f>
        <v>0</v>
      </c>
      <c r="J20" s="43">
        <f>IF($B$8=12,C20,IF($B$8=4,0,IF($B$8=6,C16,IF($B$8=3,C14,0))))</f>
        <v>0</v>
      </c>
      <c r="K20" s="68">
        <f>IF($B$8=12,D20,IF($B$8=4,0,IF($B$8=6,D16,IF($B$8=3,D14,0))))</f>
        <v>0</v>
      </c>
      <c r="M20" s="4195"/>
      <c r="N20" s="9" t="s">
        <v>25</v>
      </c>
      <c r="O20" s="43">
        <f t="shared" si="1"/>
        <v>0</v>
      </c>
      <c r="P20" s="43">
        <f t="shared" si="1"/>
        <v>0</v>
      </c>
      <c r="Q20" s="44">
        <f t="shared" si="1"/>
        <v>0</v>
      </c>
    </row>
    <row r="21" spans="1:17" ht="15.75" customHeight="1">
      <c r="A21" s="23">
        <v>10</v>
      </c>
      <c r="B21" s="43">
        <f t="shared" si="0"/>
        <v>0</v>
      </c>
      <c r="C21" s="123">
        <f t="shared" si="2"/>
        <v>0</v>
      </c>
      <c r="D21" s="43">
        <f t="shared" si="3"/>
        <v>0</v>
      </c>
      <c r="E21" s="68">
        <f t="shared" si="4"/>
        <v>0</v>
      </c>
      <c r="G21" s="4195"/>
      <c r="H21" s="9" t="s">
        <v>26</v>
      </c>
      <c r="I21" s="43">
        <f>IF($B$8=12,B21,IF($B$8=4,B15,IF($B$8=6,0,IF($B$8=3,0,0))))</f>
        <v>0</v>
      </c>
      <c r="J21" s="43">
        <f>IF($B$8=12,C21,IF($B$8=4,C15,IF($B$8=6,0,IF($B$8=3,0,0))))</f>
        <v>0</v>
      </c>
      <c r="K21" s="68">
        <f>IF($B$8=12,D21,IF($B$8=4,D15,IF($B$8=6,0,IF($B$8=3,0,0))))</f>
        <v>0</v>
      </c>
      <c r="M21" s="4195"/>
      <c r="N21" s="9" t="s">
        <v>26</v>
      </c>
      <c r="O21" s="43">
        <f t="shared" si="1"/>
        <v>0</v>
      </c>
      <c r="P21" s="43">
        <f t="shared" si="1"/>
        <v>0</v>
      </c>
      <c r="Q21" s="44">
        <f t="shared" si="1"/>
        <v>0</v>
      </c>
    </row>
    <row r="22" spans="1:17" ht="15.75" customHeight="1">
      <c r="A22" s="23">
        <v>11</v>
      </c>
      <c r="B22" s="43">
        <f t="shared" si="0"/>
        <v>0</v>
      </c>
      <c r="C22" s="123">
        <f t="shared" si="2"/>
        <v>0</v>
      </c>
      <c r="D22" s="43">
        <f t="shared" si="3"/>
        <v>0</v>
      </c>
      <c r="E22" s="68">
        <f t="shared" si="4"/>
        <v>0</v>
      </c>
      <c r="G22" s="4195"/>
      <c r="H22" s="9" t="s">
        <v>27</v>
      </c>
      <c r="I22" s="43">
        <f>IF($B$8=12,B22,IF($B$8=4,0,IF($B$8=6,B17,IF($B$8=3,0,0))))</f>
        <v>0</v>
      </c>
      <c r="J22" s="43">
        <f>IF($B$8=12,C22,IF($B$8=4,0,IF($B$8=6,C17,IF($B$8=3,0,0))))</f>
        <v>0</v>
      </c>
      <c r="K22" s="68">
        <f>IF($B$8=12,D22,IF($B$8=4,0,IF($B$8=6,D17,IF($B$8=3,0,0))))</f>
        <v>0</v>
      </c>
      <c r="M22" s="4195"/>
      <c r="N22" s="9" t="s">
        <v>27</v>
      </c>
      <c r="O22" s="43">
        <f t="shared" si="1"/>
        <v>0</v>
      </c>
      <c r="P22" s="43">
        <f t="shared" si="1"/>
        <v>0</v>
      </c>
      <c r="Q22" s="44">
        <f t="shared" si="1"/>
        <v>0</v>
      </c>
    </row>
    <row r="23" spans="1:17" ht="15.75" customHeight="1" thickBot="1">
      <c r="A23" s="24">
        <v>12</v>
      </c>
      <c r="B23" s="70">
        <f t="shared" si="0"/>
        <v>0</v>
      </c>
      <c r="C23" s="139">
        <f t="shared" si="2"/>
        <v>0</v>
      </c>
      <c r="D23" s="70">
        <f t="shared" si="3"/>
        <v>0</v>
      </c>
      <c r="E23" s="75">
        <f t="shared" si="4"/>
        <v>0</v>
      </c>
      <c r="G23" s="4196"/>
      <c r="H23" s="37" t="s">
        <v>28</v>
      </c>
      <c r="I23" s="70">
        <f>IF($B$8=12,B23,IF($B$8=4,0,IF($B$8=6,0,IF($B$8=3,0,0))))</f>
        <v>0</v>
      </c>
      <c r="J23" s="70">
        <f>IF($B$8=12,C23,IF($B$8=4,0,IF($B$8=6,0,IF($B$8=3,0,0))))</f>
        <v>0</v>
      </c>
      <c r="K23" s="72">
        <f>IF($B$8=12,D23,IF($B$8=4,0,IF($B$8=6,0,IF($B$8=3,0,0))))</f>
        <v>0</v>
      </c>
      <c r="M23" s="4196"/>
      <c r="N23" s="35" t="s">
        <v>28</v>
      </c>
      <c r="O23" s="45">
        <f t="shared" si="1"/>
        <v>0</v>
      </c>
      <c r="P23" s="45">
        <f t="shared" si="1"/>
        <v>0</v>
      </c>
      <c r="Q23" s="46">
        <f t="shared" si="1"/>
        <v>0</v>
      </c>
    </row>
    <row r="24" spans="1:17" ht="15.75" customHeight="1">
      <c r="A24" s="23">
        <v>13</v>
      </c>
      <c r="B24" s="43">
        <f t="shared" si="0"/>
        <v>0</v>
      </c>
      <c r="C24" s="123">
        <f t="shared" si="2"/>
        <v>0</v>
      </c>
      <c r="D24" s="43">
        <f t="shared" si="3"/>
        <v>0</v>
      </c>
      <c r="E24" s="68">
        <f t="shared" si="4"/>
        <v>0</v>
      </c>
      <c r="G24" s="4197">
        <v>2016</v>
      </c>
      <c r="H24" s="22" t="s">
        <v>17</v>
      </c>
      <c r="I24" s="43">
        <f>IF($B$8=12,B24,IF($B$8=4,B16,IF($B$8=6,B18,IF($B$8=3,B15,IF($B$8=2,B14,IF($B$8,B13,0))))))</f>
        <v>0</v>
      </c>
      <c r="J24" s="43">
        <f>IF($B$8=12,C24,IF($B$8=4,C16,IF($B$8=6,C18,IF($B$8=3,C15,IF($B$8=2,C14,IF($B$8,C13,0))))))</f>
        <v>0</v>
      </c>
      <c r="K24" s="68">
        <f>IF($B$8=12,D24,IF($B$8=4,D16,IF($B$8=6,D18,IF($B$8=3,D15,IF($B$8=2,D14,IF($B$8,D13,0))))))</f>
        <v>0</v>
      </c>
      <c r="M24" s="4194">
        <v>2016</v>
      </c>
      <c r="N24" s="9" t="s">
        <v>17</v>
      </c>
      <c r="O24" s="43">
        <f t="shared" ref="O24:Q35" si="5">IF($I$6=2,I12,IF($I$6=1,I24,0))</f>
        <v>0</v>
      </c>
      <c r="P24" s="43">
        <f t="shared" si="5"/>
        <v>0</v>
      </c>
      <c r="Q24" s="44">
        <f t="shared" si="5"/>
        <v>0</v>
      </c>
    </row>
    <row r="25" spans="1:17" ht="15.75" customHeight="1">
      <c r="A25" s="23">
        <v>14</v>
      </c>
      <c r="B25" s="43">
        <f t="shared" si="0"/>
        <v>0</v>
      </c>
      <c r="C25" s="123">
        <f t="shared" si="2"/>
        <v>0</v>
      </c>
      <c r="D25" s="43">
        <f t="shared" si="3"/>
        <v>0</v>
      </c>
      <c r="E25" s="68">
        <f t="shared" si="4"/>
        <v>0</v>
      </c>
      <c r="G25" s="4198"/>
      <c r="H25" s="22" t="s">
        <v>18</v>
      </c>
      <c r="I25" s="43">
        <f>IF($B$8=12,B25,0)</f>
        <v>0</v>
      </c>
      <c r="J25" s="43">
        <f>IF($B$8=12,C25,0)</f>
        <v>0</v>
      </c>
      <c r="K25" s="68">
        <f>IF($B$8=12,D25,0)</f>
        <v>0</v>
      </c>
      <c r="M25" s="4195"/>
      <c r="N25" s="9" t="s">
        <v>18</v>
      </c>
      <c r="O25" s="43">
        <f t="shared" si="5"/>
        <v>0</v>
      </c>
      <c r="P25" s="43">
        <f t="shared" si="5"/>
        <v>0</v>
      </c>
      <c r="Q25" s="44">
        <f t="shared" si="5"/>
        <v>0</v>
      </c>
    </row>
    <row r="26" spans="1:17" ht="15.75" customHeight="1">
      <c r="A26" s="23">
        <v>15</v>
      </c>
      <c r="B26" s="43">
        <f t="shared" si="0"/>
        <v>0</v>
      </c>
      <c r="C26" s="123">
        <f t="shared" si="2"/>
        <v>0</v>
      </c>
      <c r="D26" s="43">
        <f t="shared" si="3"/>
        <v>0</v>
      </c>
      <c r="E26" s="68">
        <f t="shared" si="4"/>
        <v>0</v>
      </c>
      <c r="G26" s="4198"/>
      <c r="H26" s="22" t="s">
        <v>19</v>
      </c>
      <c r="I26" s="43">
        <f>IF($B$8=12,B26,IF($B$8=6,B19,0))</f>
        <v>0</v>
      </c>
      <c r="J26" s="43">
        <f>IF($B$8=12,C26,IF($B$8=6,C19,0))</f>
        <v>0</v>
      </c>
      <c r="K26" s="68">
        <f>IF($B$8=12,D26,IF($B$8=6,D19,0))</f>
        <v>0</v>
      </c>
      <c r="M26" s="4195"/>
      <c r="N26" s="9" t="s">
        <v>19</v>
      </c>
      <c r="O26" s="43">
        <f t="shared" si="5"/>
        <v>0</v>
      </c>
      <c r="P26" s="43">
        <f t="shared" si="5"/>
        <v>0</v>
      </c>
      <c r="Q26" s="44">
        <f t="shared" si="5"/>
        <v>0</v>
      </c>
    </row>
    <row r="27" spans="1:17" ht="15.75" customHeight="1">
      <c r="A27" s="23">
        <v>16</v>
      </c>
      <c r="B27" s="43">
        <f t="shared" si="0"/>
        <v>0</v>
      </c>
      <c r="C27" s="123">
        <f t="shared" si="2"/>
        <v>0</v>
      </c>
      <c r="D27" s="43">
        <f t="shared" si="3"/>
        <v>0</v>
      </c>
      <c r="E27" s="68">
        <f t="shared" si="4"/>
        <v>0</v>
      </c>
      <c r="G27" s="4198"/>
      <c r="H27" s="22" t="s">
        <v>20</v>
      </c>
      <c r="I27" s="43">
        <f>IF($B$8=12,B27,IF($B$8=4,B17,IF($B$8=6,0,IF($B$8=3,0,0))))</f>
        <v>0</v>
      </c>
      <c r="J27" s="43">
        <f>IF($B$8=12,C27,IF($B$8=4,C17,IF($B$8=6,0,IF($B$8=3,0,0))))</f>
        <v>0</v>
      </c>
      <c r="K27" s="68">
        <f>IF($B$8=12,D27,IF($B$8=4,D17,IF($B$8=6,0,IF($B$8=3,0,0))))</f>
        <v>0</v>
      </c>
      <c r="M27" s="4195"/>
      <c r="N27" s="9" t="s">
        <v>20</v>
      </c>
      <c r="O27" s="43">
        <f t="shared" si="5"/>
        <v>0</v>
      </c>
      <c r="P27" s="43">
        <f t="shared" si="5"/>
        <v>0</v>
      </c>
      <c r="Q27" s="44">
        <f t="shared" si="5"/>
        <v>0</v>
      </c>
    </row>
    <row r="28" spans="1:17" ht="15.75" customHeight="1">
      <c r="A28" s="23">
        <v>17</v>
      </c>
      <c r="B28" s="43">
        <f t="shared" si="0"/>
        <v>0</v>
      </c>
      <c r="C28" s="123">
        <f t="shared" si="2"/>
        <v>0</v>
      </c>
      <c r="D28" s="43">
        <f t="shared" si="3"/>
        <v>0</v>
      </c>
      <c r="E28" s="68">
        <f t="shared" si="4"/>
        <v>0</v>
      </c>
      <c r="G28" s="4198"/>
      <c r="H28" s="22" t="s">
        <v>21</v>
      </c>
      <c r="I28" s="43">
        <f>IF($B$8=12,B28,IF($B$8=4,0,IF($B$8=6,B20,IF($B$8=3,B16,0))))</f>
        <v>0</v>
      </c>
      <c r="J28" s="43">
        <f>IF($B$8=12,C28,IF($B$8=4,0,IF($B$8=6,C20,IF($B$8=3,C16,0))))</f>
        <v>0</v>
      </c>
      <c r="K28" s="68">
        <f>IF($B$8=12,D28,IF($B$8=4,0,IF($B$8=6,D20,IF($B$8=3,D16,0))))</f>
        <v>0</v>
      </c>
      <c r="M28" s="4195"/>
      <c r="N28" s="9" t="s">
        <v>21</v>
      </c>
      <c r="O28" s="43">
        <f t="shared" si="5"/>
        <v>0</v>
      </c>
      <c r="P28" s="43">
        <f t="shared" si="5"/>
        <v>0</v>
      </c>
      <c r="Q28" s="44">
        <f t="shared" si="5"/>
        <v>0</v>
      </c>
    </row>
    <row r="29" spans="1:17" ht="15.75" customHeight="1">
      <c r="A29" s="23">
        <v>18</v>
      </c>
      <c r="B29" s="43">
        <f t="shared" si="0"/>
        <v>0</v>
      </c>
      <c r="C29" s="123">
        <f t="shared" si="2"/>
        <v>0</v>
      </c>
      <c r="D29" s="43">
        <f t="shared" si="3"/>
        <v>0</v>
      </c>
      <c r="E29" s="68">
        <f t="shared" si="4"/>
        <v>0</v>
      </c>
      <c r="G29" s="4198"/>
      <c r="H29" s="22" t="s">
        <v>22</v>
      </c>
      <c r="I29" s="43">
        <f>IF($B$8=12,B29,IF($B$8=4,0,IF($B$8=6,0,IF($B$8=3,0,0))))</f>
        <v>0</v>
      </c>
      <c r="J29" s="43">
        <f>IF($B$8=12,C29,IF($B$8=4,0,IF($B$8=6,0,IF($B$8=3,0,0))))</f>
        <v>0</v>
      </c>
      <c r="K29" s="68">
        <f>IF($B$8=12,D29,IF($B$8=4,0,IF($B$8=6,0,IF($B$8=3,0,0))))</f>
        <v>0</v>
      </c>
      <c r="M29" s="4195"/>
      <c r="N29" s="9" t="s">
        <v>22</v>
      </c>
      <c r="O29" s="43">
        <f t="shared" si="5"/>
        <v>0</v>
      </c>
      <c r="P29" s="43">
        <f t="shared" si="5"/>
        <v>0</v>
      </c>
      <c r="Q29" s="44">
        <f t="shared" si="5"/>
        <v>0</v>
      </c>
    </row>
    <row r="30" spans="1:17" ht="15.75" customHeight="1">
      <c r="A30" s="23">
        <v>19</v>
      </c>
      <c r="B30" s="43">
        <f t="shared" si="0"/>
        <v>0</v>
      </c>
      <c r="C30" s="123">
        <f t="shared" si="2"/>
        <v>0</v>
      </c>
      <c r="D30" s="43">
        <f t="shared" si="3"/>
        <v>0</v>
      </c>
      <c r="E30" s="68">
        <f t="shared" si="4"/>
        <v>0</v>
      </c>
      <c r="G30" s="4198"/>
      <c r="H30" s="22" t="s">
        <v>23</v>
      </c>
      <c r="I30" s="43">
        <f>IF($B$8=12,B30,IF($B$8=4,B18,IF($B$8=6,B21,IF($B$8=3,0,IF($B$8=2,B15,0)))))</f>
        <v>0</v>
      </c>
      <c r="J30" s="43">
        <f>IF($B$8=12,C30,IF($B$8=4,C18,IF($B$8=6,C21,IF($B$8=3,0,IF($B$8=2,C15,0)))))</f>
        <v>0</v>
      </c>
      <c r="K30" s="68">
        <f>IF($B$8=12,D30,IF($B$8=4,D18,IF($B$8=6,D21,IF($B$8=3,0,IF($B$8=2,D15,0)))))</f>
        <v>0</v>
      </c>
      <c r="M30" s="4195"/>
      <c r="N30" s="9" t="s">
        <v>23</v>
      </c>
      <c r="O30" s="43">
        <f t="shared" si="5"/>
        <v>0</v>
      </c>
      <c r="P30" s="43">
        <f t="shared" si="5"/>
        <v>0</v>
      </c>
      <c r="Q30" s="44">
        <f t="shared" si="5"/>
        <v>0</v>
      </c>
    </row>
    <row r="31" spans="1:17" ht="15.75" customHeight="1">
      <c r="A31" s="23">
        <v>20</v>
      </c>
      <c r="B31" s="43">
        <f t="shared" si="0"/>
        <v>0</v>
      </c>
      <c r="C31" s="123">
        <f t="shared" si="2"/>
        <v>0</v>
      </c>
      <c r="D31" s="43">
        <f t="shared" si="3"/>
        <v>0</v>
      </c>
      <c r="E31" s="68">
        <f t="shared" si="4"/>
        <v>0</v>
      </c>
      <c r="G31" s="4198"/>
      <c r="H31" s="22" t="s">
        <v>24</v>
      </c>
      <c r="I31" s="43">
        <f>IF($B$8=12,B31,IF($B$8=4,0,IF($B$8=6,0,IF($B$8=3,0,0))))</f>
        <v>0</v>
      </c>
      <c r="J31" s="43">
        <f>IF($B$8=12,C31,IF($B$8=4,0,IF($B$8=6,0,IF($B$8=3,0,0))))</f>
        <v>0</v>
      </c>
      <c r="K31" s="68">
        <f>IF($B$8=12,D31,IF($B$8=4,0,IF($B$8=6,0,IF($B$8=3,0,0))))</f>
        <v>0</v>
      </c>
      <c r="M31" s="4195"/>
      <c r="N31" s="9" t="s">
        <v>24</v>
      </c>
      <c r="O31" s="43">
        <f t="shared" si="5"/>
        <v>0</v>
      </c>
      <c r="P31" s="43">
        <f t="shared" si="5"/>
        <v>0</v>
      </c>
      <c r="Q31" s="44">
        <f t="shared" si="5"/>
        <v>0</v>
      </c>
    </row>
    <row r="32" spans="1:17" ht="15.75" customHeight="1">
      <c r="A32" s="23">
        <v>21</v>
      </c>
      <c r="B32" s="43">
        <f t="shared" si="0"/>
        <v>0</v>
      </c>
      <c r="C32" s="123">
        <f t="shared" si="2"/>
        <v>0</v>
      </c>
      <c r="D32" s="43">
        <f t="shared" si="3"/>
        <v>0</v>
      </c>
      <c r="E32" s="68">
        <f t="shared" si="4"/>
        <v>0</v>
      </c>
      <c r="G32" s="4198"/>
      <c r="H32" s="22" t="s">
        <v>25</v>
      </c>
      <c r="I32" s="43">
        <f>IF($B$8=12,B32,IF($B$8=4,0,IF($B$8=6,B22,IF($B$8=3,B17,0))))</f>
        <v>0</v>
      </c>
      <c r="J32" s="43">
        <f>IF($B$8=12,C32,IF($B$8=4,0,IF($B$8=6,C22,IF($B$8=3,C17,0))))</f>
        <v>0</v>
      </c>
      <c r="K32" s="68">
        <f>IF($B$8=12,D32,IF($B$8=4,0,IF($B$8=6,D22,IF($B$8=3,D17,0))))</f>
        <v>0</v>
      </c>
      <c r="M32" s="4195"/>
      <c r="N32" s="9" t="s">
        <v>25</v>
      </c>
      <c r="O32" s="43">
        <f t="shared" si="5"/>
        <v>0</v>
      </c>
      <c r="P32" s="43">
        <f t="shared" si="5"/>
        <v>0</v>
      </c>
      <c r="Q32" s="44">
        <f t="shared" si="5"/>
        <v>0</v>
      </c>
    </row>
    <row r="33" spans="1:17" ht="15.75" customHeight="1">
      <c r="A33" s="23">
        <v>22</v>
      </c>
      <c r="B33" s="43">
        <f t="shared" si="0"/>
        <v>0</v>
      </c>
      <c r="C33" s="123">
        <f t="shared" si="2"/>
        <v>0</v>
      </c>
      <c r="D33" s="43">
        <f t="shared" si="3"/>
        <v>0</v>
      </c>
      <c r="E33" s="68">
        <f t="shared" si="4"/>
        <v>0</v>
      </c>
      <c r="G33" s="4198"/>
      <c r="H33" s="22" t="s">
        <v>26</v>
      </c>
      <c r="I33" s="43">
        <f>IF($B$8=12,B33,IF($B$8=4,B19,IF($B$8=6,0,IF($B$8=3,0,0))))</f>
        <v>0</v>
      </c>
      <c r="J33" s="43">
        <f>IF($B$8=12,C33,IF($B$8=4,C19,IF($B$8=6,0,IF($B$8=3,0,0))))</f>
        <v>0</v>
      </c>
      <c r="K33" s="68">
        <f>IF($B$8=12,D33,IF($B$8=4,D19,IF($B$8=6,0,IF($B$8=3,0,0))))</f>
        <v>0</v>
      </c>
      <c r="M33" s="4195"/>
      <c r="N33" s="9" t="s">
        <v>26</v>
      </c>
      <c r="O33" s="43">
        <f t="shared" si="5"/>
        <v>0</v>
      </c>
      <c r="P33" s="43">
        <f t="shared" si="5"/>
        <v>0</v>
      </c>
      <c r="Q33" s="44">
        <f t="shared" si="5"/>
        <v>0</v>
      </c>
    </row>
    <row r="34" spans="1:17" ht="15.75" customHeight="1">
      <c r="A34" s="23">
        <v>23</v>
      </c>
      <c r="B34" s="43">
        <f t="shared" si="0"/>
        <v>0</v>
      </c>
      <c r="C34" s="123">
        <f t="shared" si="2"/>
        <v>0</v>
      </c>
      <c r="D34" s="43">
        <f t="shared" si="3"/>
        <v>0</v>
      </c>
      <c r="E34" s="68">
        <f t="shared" si="4"/>
        <v>0</v>
      </c>
      <c r="G34" s="4198"/>
      <c r="H34" s="22" t="s">
        <v>27</v>
      </c>
      <c r="I34" s="43">
        <f>IF($B$8=12,B34,IF($B$8=4,0,IF($B$8=6,B23,IF($B$8=3,0,0))))</f>
        <v>0</v>
      </c>
      <c r="J34" s="43">
        <f>IF($B$8=12,C34,IF($B$8=4,0,IF($B$8=6,C23,IF($B$8=3,0,0))))</f>
        <v>0</v>
      </c>
      <c r="K34" s="68">
        <f>IF($B$8=12,D34,IF($B$8=4,0,IF($B$8=6,D23,IF($B$8=3,0,0))))</f>
        <v>0</v>
      </c>
      <c r="M34" s="4195"/>
      <c r="N34" s="9" t="s">
        <v>27</v>
      </c>
      <c r="O34" s="43">
        <f t="shared" si="5"/>
        <v>0</v>
      </c>
      <c r="P34" s="43">
        <f t="shared" si="5"/>
        <v>0</v>
      </c>
      <c r="Q34" s="44">
        <f t="shared" si="5"/>
        <v>0</v>
      </c>
    </row>
    <row r="35" spans="1:17" ht="15.75" customHeight="1" thickBot="1">
      <c r="A35" s="24">
        <v>24</v>
      </c>
      <c r="B35" s="70">
        <f t="shared" si="0"/>
        <v>0</v>
      </c>
      <c r="C35" s="139">
        <f t="shared" si="2"/>
        <v>0</v>
      </c>
      <c r="D35" s="70">
        <f t="shared" si="3"/>
        <v>0</v>
      </c>
      <c r="E35" s="75">
        <f t="shared" si="4"/>
        <v>0</v>
      </c>
      <c r="G35" s="4199"/>
      <c r="H35" s="25" t="s">
        <v>28</v>
      </c>
      <c r="I35" s="70">
        <f>IF($B$8=12,B35,IF($B$8=4,0,IF($B$8=6,0,IF($B$8=3,0,0))))</f>
        <v>0</v>
      </c>
      <c r="J35" s="70">
        <f>IF($B$8=12,C35,IF($B$8=4,0,IF($B$8=6,0,IF($B$8=3,0,0))))</f>
        <v>0</v>
      </c>
      <c r="K35" s="72">
        <f>IF($B$8=12,D35,IF($B$8=4,0,IF($B$8=6,0,IF($B$8=3,0,0))))</f>
        <v>0</v>
      </c>
      <c r="M35" s="4196"/>
      <c r="N35" s="35" t="s">
        <v>28</v>
      </c>
      <c r="O35" s="43">
        <f t="shared" si="5"/>
        <v>0</v>
      </c>
      <c r="P35" s="43">
        <f t="shared" si="5"/>
        <v>0</v>
      </c>
      <c r="Q35" s="46">
        <f t="shared" si="5"/>
        <v>0</v>
      </c>
    </row>
    <row r="36" spans="1:17" ht="15.75" customHeight="1">
      <c r="A36" s="23">
        <v>25</v>
      </c>
      <c r="B36" s="43">
        <f t="shared" si="0"/>
        <v>0</v>
      </c>
      <c r="C36" s="123">
        <f t="shared" si="2"/>
        <v>0</v>
      </c>
      <c r="D36" s="43">
        <f t="shared" si="3"/>
        <v>0</v>
      </c>
      <c r="E36" s="68">
        <f t="shared" si="4"/>
        <v>0</v>
      </c>
      <c r="G36" s="4197">
        <v>2017</v>
      </c>
      <c r="H36" s="22" t="s">
        <v>17</v>
      </c>
      <c r="I36" s="43">
        <f>IF($B$8=12,B36,IF($B$8=4,B20,IF($B$8=6,B24,IF($B$8=3,B18,IF($B$8=2,B16,IF($B$8=1,B14,0))))))</f>
        <v>0</v>
      </c>
      <c r="J36" s="43">
        <f>IF($B$8=12,C36,IF($B$8=4,C20,IF($B$8=6,C24,IF($B$8=3,C18,IF($B$8=2,C16,IF($B$8=1,C14,0))))))</f>
        <v>0</v>
      </c>
      <c r="K36" s="68">
        <f>IF($B$8=12,D36,IF($B$8=4,D20,IF($B$8=6,D24,IF($B$8=3,D18,IF($B$8=2,D16,IF($B$8=1,D14,0))))))</f>
        <v>0</v>
      </c>
      <c r="M36" s="4194">
        <v>2017</v>
      </c>
      <c r="N36" s="9" t="s">
        <v>17</v>
      </c>
      <c r="O36" s="76">
        <f t="shared" ref="O36:Q47" si="6">IF($I$6=3,I12,IF($I$6=2,I24,IF($I$6=1,I36,0)))</f>
        <v>0</v>
      </c>
      <c r="P36" s="76">
        <f t="shared" si="6"/>
        <v>0</v>
      </c>
      <c r="Q36" s="77">
        <f t="shared" si="6"/>
        <v>0</v>
      </c>
    </row>
    <row r="37" spans="1:17" ht="15.75" customHeight="1">
      <c r="A37" s="23">
        <v>26</v>
      </c>
      <c r="B37" s="43">
        <f t="shared" si="0"/>
        <v>0</v>
      </c>
      <c r="C37" s="123">
        <f t="shared" si="2"/>
        <v>0</v>
      </c>
      <c r="D37" s="43">
        <f t="shared" si="3"/>
        <v>0</v>
      </c>
      <c r="E37" s="68">
        <f t="shared" si="4"/>
        <v>0</v>
      </c>
      <c r="G37" s="4198"/>
      <c r="H37" s="22" t="s">
        <v>18</v>
      </c>
      <c r="I37" s="43">
        <f>IF($B$8=12,B37,0)</f>
        <v>0</v>
      </c>
      <c r="J37" s="43">
        <f>IF($B$8=12,C37,0)</f>
        <v>0</v>
      </c>
      <c r="K37" s="68">
        <f>IF($B$8=12,D37,0)</f>
        <v>0</v>
      </c>
      <c r="M37" s="4195"/>
      <c r="N37" s="9" t="s">
        <v>18</v>
      </c>
      <c r="O37" s="43">
        <f t="shared" si="6"/>
        <v>0</v>
      </c>
      <c r="P37" s="43">
        <f t="shared" si="6"/>
        <v>0</v>
      </c>
      <c r="Q37" s="44">
        <f t="shared" si="6"/>
        <v>0</v>
      </c>
    </row>
    <row r="38" spans="1:17" ht="15.75" customHeight="1">
      <c r="A38" s="23">
        <v>27</v>
      </c>
      <c r="B38" s="43">
        <f t="shared" si="0"/>
        <v>0</v>
      </c>
      <c r="C38" s="123">
        <f t="shared" si="2"/>
        <v>0</v>
      </c>
      <c r="D38" s="43">
        <f t="shared" si="3"/>
        <v>0</v>
      </c>
      <c r="E38" s="68">
        <f t="shared" si="4"/>
        <v>0</v>
      </c>
      <c r="G38" s="4198"/>
      <c r="H38" s="22" t="s">
        <v>19</v>
      </c>
      <c r="I38" s="43">
        <f>IF($B$8=12,B38,IF($B$8=6,B25,0))</f>
        <v>0</v>
      </c>
      <c r="J38" s="43">
        <f>IF($B$8=12,C38,IF($B$8=6,C25,0))</f>
        <v>0</v>
      </c>
      <c r="K38" s="68">
        <f>IF($B$8=12,D38,IF($B$8=6,D25,0))</f>
        <v>0</v>
      </c>
      <c r="M38" s="4195"/>
      <c r="N38" s="9" t="s">
        <v>19</v>
      </c>
      <c r="O38" s="43">
        <f t="shared" si="6"/>
        <v>0</v>
      </c>
      <c r="P38" s="43">
        <f t="shared" si="6"/>
        <v>0</v>
      </c>
      <c r="Q38" s="44">
        <f t="shared" si="6"/>
        <v>0</v>
      </c>
    </row>
    <row r="39" spans="1:17" ht="15.75" customHeight="1">
      <c r="A39" s="23">
        <v>28</v>
      </c>
      <c r="B39" s="43">
        <f t="shared" si="0"/>
        <v>0</v>
      </c>
      <c r="C39" s="123">
        <f t="shared" si="2"/>
        <v>0</v>
      </c>
      <c r="D39" s="43">
        <f t="shared" si="3"/>
        <v>0</v>
      </c>
      <c r="E39" s="68">
        <f t="shared" si="4"/>
        <v>0</v>
      </c>
      <c r="G39" s="4198"/>
      <c r="H39" s="22" t="s">
        <v>20</v>
      </c>
      <c r="I39" s="43">
        <f>IF($B$8=12,B39,IF($B$8=4,B21,IF($B$8=6,0,IF($B$8=3,0,0))))</f>
        <v>0</v>
      </c>
      <c r="J39" s="43">
        <f>IF($B$8=12,C39,IF($B$8=4,C21,IF($B$8=6,0,IF($B$8=3,0,0))))</f>
        <v>0</v>
      </c>
      <c r="K39" s="68">
        <f>IF($B$8=12,D39,IF($B$8=4,D21,IF($B$8=6,0,IF($B$8=3,0,0))))</f>
        <v>0</v>
      </c>
      <c r="M39" s="4195"/>
      <c r="N39" s="9" t="s">
        <v>20</v>
      </c>
      <c r="O39" s="43">
        <f t="shared" si="6"/>
        <v>0</v>
      </c>
      <c r="P39" s="43">
        <f t="shared" si="6"/>
        <v>0</v>
      </c>
      <c r="Q39" s="44">
        <f t="shared" si="6"/>
        <v>0</v>
      </c>
    </row>
    <row r="40" spans="1:17" ht="15.75" customHeight="1">
      <c r="A40" s="23">
        <v>29</v>
      </c>
      <c r="B40" s="43">
        <f t="shared" si="0"/>
        <v>0</v>
      </c>
      <c r="C40" s="123">
        <f t="shared" si="2"/>
        <v>0</v>
      </c>
      <c r="D40" s="43">
        <f t="shared" si="3"/>
        <v>0</v>
      </c>
      <c r="E40" s="68">
        <f t="shared" si="4"/>
        <v>0</v>
      </c>
      <c r="G40" s="4198"/>
      <c r="H40" s="22" t="s">
        <v>21</v>
      </c>
      <c r="I40" s="43">
        <f>IF($B$8=12,B40,IF($B$8=4,0,IF($B$8=6,B26,IF($B$8=3,B19,0))))</f>
        <v>0</v>
      </c>
      <c r="J40" s="43">
        <f>IF($B$8=12,C40,IF($B$8=4,0,IF($B$8=6,C26,IF($B$8=3,C19,0))))</f>
        <v>0</v>
      </c>
      <c r="K40" s="68">
        <f>IF($B$8=12,D40,IF($B$8=4,0,IF($B$8=6,D26,IF($B$8=3,D19,0))))</f>
        <v>0</v>
      </c>
      <c r="M40" s="4195"/>
      <c r="N40" s="9" t="s">
        <v>21</v>
      </c>
      <c r="O40" s="43">
        <f t="shared" si="6"/>
        <v>0</v>
      </c>
      <c r="P40" s="43">
        <f t="shared" si="6"/>
        <v>0</v>
      </c>
      <c r="Q40" s="44">
        <f t="shared" si="6"/>
        <v>0</v>
      </c>
    </row>
    <row r="41" spans="1:17" ht="15.75" customHeight="1">
      <c r="A41" s="23">
        <v>30</v>
      </c>
      <c r="B41" s="43">
        <f t="shared" si="0"/>
        <v>0</v>
      </c>
      <c r="C41" s="123">
        <f t="shared" si="2"/>
        <v>0</v>
      </c>
      <c r="D41" s="43">
        <f t="shared" si="3"/>
        <v>0</v>
      </c>
      <c r="E41" s="68">
        <f t="shared" si="4"/>
        <v>0</v>
      </c>
      <c r="G41" s="4198"/>
      <c r="H41" s="22" t="s">
        <v>22</v>
      </c>
      <c r="I41" s="43">
        <f>IF($B$8=12,B41,IF($B$8=4,0,IF($B$8=6,0,IF($B$8=3,0,0))))</f>
        <v>0</v>
      </c>
      <c r="J41" s="43">
        <f>IF($B$8=12,C41,IF($B$8=4,0,IF($B$8=6,0,IF($B$8=3,0,0))))</f>
        <v>0</v>
      </c>
      <c r="K41" s="68">
        <f>IF($B$8=12,D41,IF($B$8=4,0,IF($B$8=6,0,IF($B$8=3,0,0))))</f>
        <v>0</v>
      </c>
      <c r="M41" s="4195"/>
      <c r="N41" s="9" t="s">
        <v>22</v>
      </c>
      <c r="O41" s="43">
        <f t="shared" si="6"/>
        <v>0</v>
      </c>
      <c r="P41" s="43">
        <f t="shared" si="6"/>
        <v>0</v>
      </c>
      <c r="Q41" s="44">
        <f t="shared" si="6"/>
        <v>0</v>
      </c>
    </row>
    <row r="42" spans="1:17" ht="15.75" customHeight="1">
      <c r="A42" s="23">
        <v>31</v>
      </c>
      <c r="B42" s="43">
        <f t="shared" si="0"/>
        <v>0</v>
      </c>
      <c r="C42" s="123">
        <f t="shared" si="2"/>
        <v>0</v>
      </c>
      <c r="D42" s="43">
        <f t="shared" si="3"/>
        <v>0</v>
      </c>
      <c r="E42" s="68">
        <f t="shared" si="4"/>
        <v>0</v>
      </c>
      <c r="G42" s="4198"/>
      <c r="H42" s="22" t="s">
        <v>23</v>
      </c>
      <c r="I42" s="43">
        <f>IF($B$8=12,B42,IF($B$8=4,B22,IF($B$8=6,B27,IF($B$8=3,0,IF($B$8=2,B17,0)))))</f>
        <v>0</v>
      </c>
      <c r="J42" s="43">
        <f>IF($B$8=12,C42,IF($B$8=4,C22,IF($B$8=6,C27,IF($B$8=3,0,IF($B$8=2,C17,0)))))</f>
        <v>0</v>
      </c>
      <c r="K42" s="68">
        <f>IF($B$8=12,D42,IF($B$8=4,D22,IF($B$8=6,D27,IF($B$8=3,0,IF($B$8=2,D17,0)))))</f>
        <v>0</v>
      </c>
      <c r="M42" s="4195"/>
      <c r="N42" s="9" t="s">
        <v>23</v>
      </c>
      <c r="O42" s="43">
        <f t="shared" si="6"/>
        <v>0</v>
      </c>
      <c r="P42" s="43">
        <f t="shared" si="6"/>
        <v>0</v>
      </c>
      <c r="Q42" s="44">
        <f t="shared" si="6"/>
        <v>0</v>
      </c>
    </row>
    <row r="43" spans="1:17" ht="15.75" customHeight="1">
      <c r="A43" s="23">
        <v>32</v>
      </c>
      <c r="B43" s="43">
        <f t="shared" si="0"/>
        <v>0</v>
      </c>
      <c r="C43" s="123">
        <f t="shared" si="2"/>
        <v>0</v>
      </c>
      <c r="D43" s="43">
        <f t="shared" si="3"/>
        <v>0</v>
      </c>
      <c r="E43" s="68">
        <f t="shared" si="4"/>
        <v>0</v>
      </c>
      <c r="G43" s="4198"/>
      <c r="H43" s="22" t="s">
        <v>24</v>
      </c>
      <c r="I43" s="43">
        <f>IF($B$8=12,B43,IF($B$8=4,0,IF($B$8=6,0,IF($B$8=3,0,0))))</f>
        <v>0</v>
      </c>
      <c r="J43" s="43">
        <f>IF($B$8=12,C43,IF($B$8=4,0,IF($B$8=6,0,IF($B$8=3,0,0))))</f>
        <v>0</v>
      </c>
      <c r="K43" s="68">
        <f>IF($B$8=12,D43,IF($B$8=4,0,IF($B$8=6,0,IF($B$8=3,0,0))))</f>
        <v>0</v>
      </c>
      <c r="M43" s="4195"/>
      <c r="N43" s="9" t="s">
        <v>24</v>
      </c>
      <c r="O43" s="43">
        <f t="shared" si="6"/>
        <v>0</v>
      </c>
      <c r="P43" s="43">
        <f t="shared" si="6"/>
        <v>0</v>
      </c>
      <c r="Q43" s="44">
        <f t="shared" si="6"/>
        <v>0</v>
      </c>
    </row>
    <row r="44" spans="1:17" ht="15.75" customHeight="1">
      <c r="A44" s="23">
        <v>33</v>
      </c>
      <c r="B44" s="43">
        <f t="shared" si="0"/>
        <v>0</v>
      </c>
      <c r="C44" s="123">
        <f t="shared" si="2"/>
        <v>0</v>
      </c>
      <c r="D44" s="43">
        <f t="shared" si="3"/>
        <v>0</v>
      </c>
      <c r="E44" s="68">
        <f t="shared" si="4"/>
        <v>0</v>
      </c>
      <c r="G44" s="4198"/>
      <c r="H44" s="22" t="s">
        <v>25</v>
      </c>
      <c r="I44" s="43">
        <f>IF($B$8=12,B44,IF($B$8=4,0,IF($B$8=6,B28,IF($B$8=3,B20,0))))</f>
        <v>0</v>
      </c>
      <c r="J44" s="43">
        <f>IF($B$8=12,C44,IF($B$8=4,0,IF($B$8=6,C28,IF($B$8=3,C20,0))))</f>
        <v>0</v>
      </c>
      <c r="K44" s="68">
        <f>IF($B$8=12,D44,IF($B$8=4,0,IF($B$8=6,D28,IF($B$8=3,D20,0))))</f>
        <v>0</v>
      </c>
      <c r="M44" s="4195"/>
      <c r="N44" s="9" t="s">
        <v>25</v>
      </c>
      <c r="O44" s="43">
        <f t="shared" si="6"/>
        <v>0</v>
      </c>
      <c r="P44" s="43">
        <f t="shared" si="6"/>
        <v>0</v>
      </c>
      <c r="Q44" s="44">
        <f t="shared" si="6"/>
        <v>0</v>
      </c>
    </row>
    <row r="45" spans="1:17" ht="15.75" customHeight="1">
      <c r="A45" s="23">
        <v>34</v>
      </c>
      <c r="B45" s="43">
        <f t="shared" si="0"/>
        <v>0</v>
      </c>
      <c r="C45" s="123">
        <f t="shared" si="2"/>
        <v>0</v>
      </c>
      <c r="D45" s="43">
        <f t="shared" si="3"/>
        <v>0</v>
      </c>
      <c r="E45" s="68">
        <f t="shared" si="4"/>
        <v>0</v>
      </c>
      <c r="G45" s="4198"/>
      <c r="H45" s="22" t="s">
        <v>26</v>
      </c>
      <c r="I45" s="43">
        <f>IF($B$8=12,B45,IF($B$8=4,B23,IF($B$8=6,0,IF($B$8=3,0,0))))</f>
        <v>0</v>
      </c>
      <c r="J45" s="43">
        <f>IF($B$8=12,C45,IF($B$8=4,C23,IF($B$8=6,0,IF($B$8=3,0,0))))</f>
        <v>0</v>
      </c>
      <c r="K45" s="68">
        <f>IF($B$8=12,D45,IF($B$8=4,D23,IF($B$8=6,0,IF($B$8=3,0,0))))</f>
        <v>0</v>
      </c>
      <c r="M45" s="4195"/>
      <c r="N45" s="9" t="s">
        <v>26</v>
      </c>
      <c r="O45" s="43">
        <f t="shared" si="6"/>
        <v>0</v>
      </c>
      <c r="P45" s="43">
        <f t="shared" si="6"/>
        <v>0</v>
      </c>
      <c r="Q45" s="44">
        <f t="shared" si="6"/>
        <v>0</v>
      </c>
    </row>
    <row r="46" spans="1:17" ht="15.75" customHeight="1">
      <c r="A46" s="23">
        <v>35</v>
      </c>
      <c r="B46" s="43">
        <f t="shared" si="0"/>
        <v>0</v>
      </c>
      <c r="C46" s="123">
        <f t="shared" si="2"/>
        <v>0</v>
      </c>
      <c r="D46" s="43">
        <f t="shared" si="3"/>
        <v>0</v>
      </c>
      <c r="E46" s="68">
        <f t="shared" si="4"/>
        <v>0</v>
      </c>
      <c r="G46" s="4198"/>
      <c r="H46" s="22" t="s">
        <v>27</v>
      </c>
      <c r="I46" s="43">
        <f>IF($B$8=12,B46,IF($B$8=4,0,IF($B$8=6,B29,IF($B$8=3,0,0))))</f>
        <v>0</v>
      </c>
      <c r="J46" s="43">
        <f>IF($B$8=12,C46,IF($B$8=4,0,IF($B$8=6,C29,IF($B$8=3,0,0))))</f>
        <v>0</v>
      </c>
      <c r="K46" s="68">
        <f>IF($B$8=12,D46,IF($B$8=4,0,IF($B$8=6,D29,IF($B$8=3,0,0))))</f>
        <v>0</v>
      </c>
      <c r="M46" s="4195"/>
      <c r="N46" s="9" t="s">
        <v>27</v>
      </c>
      <c r="O46" s="43">
        <f t="shared" si="6"/>
        <v>0</v>
      </c>
      <c r="P46" s="43">
        <f t="shared" si="6"/>
        <v>0</v>
      </c>
      <c r="Q46" s="44">
        <f t="shared" si="6"/>
        <v>0</v>
      </c>
    </row>
    <row r="47" spans="1:17" ht="15.75" customHeight="1" thickBot="1">
      <c r="A47" s="24">
        <v>36</v>
      </c>
      <c r="B47" s="70">
        <f t="shared" si="0"/>
        <v>0</v>
      </c>
      <c r="C47" s="139">
        <f t="shared" si="2"/>
        <v>0</v>
      </c>
      <c r="D47" s="70">
        <f t="shared" si="3"/>
        <v>0</v>
      </c>
      <c r="E47" s="75">
        <f t="shared" si="4"/>
        <v>0</v>
      </c>
      <c r="G47" s="4199"/>
      <c r="H47" s="25" t="s">
        <v>28</v>
      </c>
      <c r="I47" s="70">
        <f>IF($B$8=12,B47,IF($B$8=4,0,IF($B$8=6,0,IF($B$8=3,0,0))))</f>
        <v>0</v>
      </c>
      <c r="J47" s="70">
        <f>IF($B$8=12,C47,IF($B$8=4,0,IF($B$8=6,0,IF($B$8=3,0,0))))</f>
        <v>0</v>
      </c>
      <c r="K47" s="72">
        <f>IF($B$8=12,D47,IF($B$8=4,0,IF($B$8=6,0,IF($B$8=3,0,0))))</f>
        <v>0</v>
      </c>
      <c r="M47" s="4196"/>
      <c r="N47" s="35" t="s">
        <v>28</v>
      </c>
      <c r="O47" s="45">
        <f t="shared" si="6"/>
        <v>0</v>
      </c>
      <c r="P47" s="45">
        <f t="shared" si="6"/>
        <v>0</v>
      </c>
      <c r="Q47" s="46">
        <f t="shared" si="6"/>
        <v>0</v>
      </c>
    </row>
    <row r="48" spans="1:17" ht="15.75" customHeight="1">
      <c r="A48" s="23">
        <v>37</v>
      </c>
      <c r="B48" s="43">
        <f t="shared" si="0"/>
        <v>0</v>
      </c>
      <c r="C48" s="123">
        <f t="shared" si="2"/>
        <v>0</v>
      </c>
      <c r="D48" s="43">
        <f t="shared" si="3"/>
        <v>0</v>
      </c>
      <c r="E48" s="68">
        <f t="shared" si="4"/>
        <v>0</v>
      </c>
      <c r="G48" s="4197">
        <v>2018</v>
      </c>
      <c r="H48" s="22" t="s">
        <v>17</v>
      </c>
      <c r="I48" s="43">
        <f>IF($B$8=12,B48,IF($B$8=4,B24,IF($B$8=6,B30,IF($B$8=3,B21,IF($B$8=2,B18,IF($B$8=1,B15,0))))))</f>
        <v>0</v>
      </c>
      <c r="J48" s="43">
        <f>IF($B$8=12,C48,IF($B$8=4,C24,IF($B$8=6,C30,IF($B$8=3,C21,IF($B$8=2,C18,IF($B$8=1,C15,0))))))</f>
        <v>0</v>
      </c>
      <c r="K48" s="68">
        <f>IF($B$8=12,D48,IF($B$8=4,D24,IF($B$8=6,D30,IF($B$8=3,D21,IF($B$8=2,D18,IF($B$8=1,D15,0))))))</f>
        <v>0</v>
      </c>
      <c r="M48" s="4194">
        <v>2018</v>
      </c>
      <c r="N48" s="9" t="s">
        <v>17</v>
      </c>
      <c r="O48" s="76">
        <f t="shared" ref="O48:Q59" si="7">IF($I$6=4,I12,IF($I$6=3,I24,IF($I$6=2,I36,IF($I$6=1,I48,0))))</f>
        <v>0</v>
      </c>
      <c r="P48" s="76">
        <f t="shared" si="7"/>
        <v>0</v>
      </c>
      <c r="Q48" s="77">
        <f t="shared" si="7"/>
        <v>0</v>
      </c>
    </row>
    <row r="49" spans="1:17" ht="15.75" customHeight="1">
      <c r="A49" s="23">
        <v>38</v>
      </c>
      <c r="B49" s="43">
        <f t="shared" si="0"/>
        <v>0</v>
      </c>
      <c r="C49" s="123">
        <f t="shared" si="2"/>
        <v>0</v>
      </c>
      <c r="D49" s="43">
        <f t="shared" si="3"/>
        <v>0</v>
      </c>
      <c r="E49" s="68">
        <f t="shared" si="4"/>
        <v>0</v>
      </c>
      <c r="G49" s="4198"/>
      <c r="H49" s="22" t="s">
        <v>18</v>
      </c>
      <c r="I49" s="43">
        <f>IF($B$8=12,B49,0)</f>
        <v>0</v>
      </c>
      <c r="J49" s="43">
        <f>IF($B$8=12,C49,0)</f>
        <v>0</v>
      </c>
      <c r="K49" s="68">
        <f>IF($B$8=12,D49,0)</f>
        <v>0</v>
      </c>
      <c r="M49" s="4195"/>
      <c r="N49" s="9" t="s">
        <v>18</v>
      </c>
      <c r="O49" s="43">
        <f t="shared" si="7"/>
        <v>0</v>
      </c>
      <c r="P49" s="43">
        <f t="shared" si="7"/>
        <v>0</v>
      </c>
      <c r="Q49" s="44">
        <f t="shared" si="7"/>
        <v>0</v>
      </c>
    </row>
    <row r="50" spans="1:17" ht="15.75" customHeight="1">
      <c r="A50" s="23">
        <v>39</v>
      </c>
      <c r="B50" s="43">
        <f t="shared" si="0"/>
        <v>0</v>
      </c>
      <c r="C50" s="123">
        <f t="shared" si="2"/>
        <v>0</v>
      </c>
      <c r="D50" s="43">
        <f t="shared" si="3"/>
        <v>0</v>
      </c>
      <c r="E50" s="68">
        <f t="shared" si="4"/>
        <v>0</v>
      </c>
      <c r="G50" s="4198"/>
      <c r="H50" s="22" t="s">
        <v>19</v>
      </c>
      <c r="I50" s="43">
        <f>IF($B$8=12,B50,IF($B$8=6,B31,0))</f>
        <v>0</v>
      </c>
      <c r="J50" s="43">
        <f>IF($B$8=12,C50,IF($B$8=6,C31,0))</f>
        <v>0</v>
      </c>
      <c r="K50" s="68">
        <f>IF($B$8=12,D50,IF($B$8=6,D31,0))</f>
        <v>0</v>
      </c>
      <c r="M50" s="4195"/>
      <c r="N50" s="9" t="s">
        <v>19</v>
      </c>
      <c r="O50" s="43">
        <f t="shared" si="7"/>
        <v>0</v>
      </c>
      <c r="P50" s="43">
        <f t="shared" si="7"/>
        <v>0</v>
      </c>
      <c r="Q50" s="44">
        <f t="shared" si="7"/>
        <v>0</v>
      </c>
    </row>
    <row r="51" spans="1:17" ht="15.75" customHeight="1">
      <c r="A51" s="23">
        <v>40</v>
      </c>
      <c r="B51" s="43">
        <f t="shared" si="0"/>
        <v>0</v>
      </c>
      <c r="C51" s="123">
        <f t="shared" si="2"/>
        <v>0</v>
      </c>
      <c r="D51" s="43">
        <f t="shared" si="3"/>
        <v>0</v>
      </c>
      <c r="E51" s="68">
        <f t="shared" si="4"/>
        <v>0</v>
      </c>
      <c r="G51" s="4198"/>
      <c r="H51" s="22" t="s">
        <v>20</v>
      </c>
      <c r="I51" s="43">
        <f>IF($B$8=12,B51,IF($B$8=4,B25,IF($B$8=6,0,IF($B$8=3,0,0))))</f>
        <v>0</v>
      </c>
      <c r="J51" s="43">
        <f>IF($B$8=12,C51,IF($B$8=4,C25,IF($B$8=6,0,IF($B$8=3,0,0))))</f>
        <v>0</v>
      </c>
      <c r="K51" s="68">
        <f>IF($B$8=12,D51,IF($B$8=4,D25,IF($B$8=6,0,IF($B$8=3,0,0))))</f>
        <v>0</v>
      </c>
      <c r="M51" s="4195"/>
      <c r="N51" s="9" t="s">
        <v>20</v>
      </c>
      <c r="O51" s="43">
        <f t="shared" si="7"/>
        <v>0</v>
      </c>
      <c r="P51" s="43">
        <f t="shared" si="7"/>
        <v>0</v>
      </c>
      <c r="Q51" s="44">
        <f t="shared" si="7"/>
        <v>0</v>
      </c>
    </row>
    <row r="52" spans="1:17" ht="15.75" customHeight="1">
      <c r="A52" s="23">
        <v>41</v>
      </c>
      <c r="B52" s="43">
        <f t="shared" si="0"/>
        <v>0</v>
      </c>
      <c r="C52" s="123">
        <f t="shared" si="2"/>
        <v>0</v>
      </c>
      <c r="D52" s="43">
        <f t="shared" si="3"/>
        <v>0</v>
      </c>
      <c r="E52" s="68">
        <f t="shared" si="4"/>
        <v>0</v>
      </c>
      <c r="G52" s="4198"/>
      <c r="H52" s="22" t="s">
        <v>21</v>
      </c>
      <c r="I52" s="43">
        <f>IF($B$8=12,B52,IF($B$8=4,0,IF($B$8=6,B32,IF($B$8=3,B22,0))))</f>
        <v>0</v>
      </c>
      <c r="J52" s="43">
        <f>IF($B$8=12,C52,IF($B$8=4,0,IF($B$8=6,C32,IF($B$8=3,C22,0))))</f>
        <v>0</v>
      </c>
      <c r="K52" s="68">
        <f>IF($B$8=12,D52,IF($B$8=4,0,IF($B$8=6,D32,IF($B$8=3,D22,0))))</f>
        <v>0</v>
      </c>
      <c r="M52" s="4195"/>
      <c r="N52" s="9" t="s">
        <v>21</v>
      </c>
      <c r="O52" s="43">
        <f t="shared" si="7"/>
        <v>0</v>
      </c>
      <c r="P52" s="43">
        <f t="shared" si="7"/>
        <v>0</v>
      </c>
      <c r="Q52" s="44">
        <f t="shared" si="7"/>
        <v>0</v>
      </c>
    </row>
    <row r="53" spans="1:17" ht="15.75" customHeight="1">
      <c r="A53" s="23">
        <v>42</v>
      </c>
      <c r="B53" s="43">
        <f t="shared" si="0"/>
        <v>0</v>
      </c>
      <c r="C53" s="123">
        <f t="shared" si="2"/>
        <v>0</v>
      </c>
      <c r="D53" s="43">
        <f t="shared" si="3"/>
        <v>0</v>
      </c>
      <c r="E53" s="68">
        <f t="shared" si="4"/>
        <v>0</v>
      </c>
      <c r="G53" s="4198"/>
      <c r="H53" s="22" t="s">
        <v>22</v>
      </c>
      <c r="I53" s="43">
        <f>IF($B$8=12,B53,IF($B$8=4,0,IF($B$8=6,0,IF($B$8=3,0,0))))</f>
        <v>0</v>
      </c>
      <c r="J53" s="43">
        <f>IF($B$8=12,C53,IF($B$8=4,0,IF($B$8=6,0,IF($B$8=3,0,0))))</f>
        <v>0</v>
      </c>
      <c r="K53" s="68">
        <f>IF($B$8=12,D53,IF($B$8=4,0,IF($B$8=6,0,IF($B$8=3,0,0))))</f>
        <v>0</v>
      </c>
      <c r="M53" s="4195"/>
      <c r="N53" s="9" t="s">
        <v>22</v>
      </c>
      <c r="O53" s="43">
        <f t="shared" si="7"/>
        <v>0</v>
      </c>
      <c r="P53" s="43">
        <f t="shared" si="7"/>
        <v>0</v>
      </c>
      <c r="Q53" s="44">
        <f t="shared" si="7"/>
        <v>0</v>
      </c>
    </row>
    <row r="54" spans="1:17" ht="15.75" customHeight="1">
      <c r="A54" s="23">
        <v>43</v>
      </c>
      <c r="B54" s="43">
        <f t="shared" si="0"/>
        <v>0</v>
      </c>
      <c r="C54" s="123">
        <f t="shared" si="2"/>
        <v>0</v>
      </c>
      <c r="D54" s="43">
        <f t="shared" si="3"/>
        <v>0</v>
      </c>
      <c r="E54" s="68">
        <f t="shared" si="4"/>
        <v>0</v>
      </c>
      <c r="G54" s="4198"/>
      <c r="H54" s="22" t="s">
        <v>23</v>
      </c>
      <c r="I54" s="43">
        <f>IF($B$8=12,B54,IF($B$8=4,B26,IF($B$8=6,B33,IF($B$8=3,0,IF($B$8=2,B19,0)))))</f>
        <v>0</v>
      </c>
      <c r="J54" s="43">
        <f>IF($B$8=12,C54,IF($B$8=4,C26,IF($B$8=6,C33,IF($B$8=3,0,IF($B$8=2,C19,0)))))</f>
        <v>0</v>
      </c>
      <c r="K54" s="68">
        <f>IF($B$8=12,D54,IF($B$8=4,D26,IF($B$8=6,D33,IF($B$8=3,0,IF($B$8=2,D19,0)))))</f>
        <v>0</v>
      </c>
      <c r="M54" s="4195"/>
      <c r="N54" s="9" t="s">
        <v>23</v>
      </c>
      <c r="O54" s="43">
        <f t="shared" si="7"/>
        <v>0</v>
      </c>
      <c r="P54" s="43">
        <f t="shared" si="7"/>
        <v>0</v>
      </c>
      <c r="Q54" s="44">
        <f t="shared" si="7"/>
        <v>0</v>
      </c>
    </row>
    <row r="55" spans="1:17" ht="15.75" customHeight="1">
      <c r="A55" s="23">
        <v>44</v>
      </c>
      <c r="B55" s="43">
        <f t="shared" si="0"/>
        <v>0</v>
      </c>
      <c r="C55" s="123">
        <f t="shared" si="2"/>
        <v>0</v>
      </c>
      <c r="D55" s="43">
        <f t="shared" si="3"/>
        <v>0</v>
      </c>
      <c r="E55" s="68">
        <f t="shared" si="4"/>
        <v>0</v>
      </c>
      <c r="G55" s="4198"/>
      <c r="H55" s="22" t="s">
        <v>24</v>
      </c>
      <c r="I55" s="43">
        <f>IF($B$8=12,B55,IF($B$8=4,0,IF($B$8=6,0,IF($B$8=3,0,0))))</f>
        <v>0</v>
      </c>
      <c r="J55" s="43">
        <f>IF($B$8=12,C55,IF($B$8=4,0,IF($B$8=6,0,IF($B$8=3,0,0))))</f>
        <v>0</v>
      </c>
      <c r="K55" s="68">
        <f>IF($B$8=12,D55,IF($B$8=4,0,IF($B$8=6,0,IF($B$8=3,0,0))))</f>
        <v>0</v>
      </c>
      <c r="M55" s="4195"/>
      <c r="N55" s="9" t="s">
        <v>24</v>
      </c>
      <c r="O55" s="43">
        <f t="shared" si="7"/>
        <v>0</v>
      </c>
      <c r="P55" s="43">
        <f t="shared" si="7"/>
        <v>0</v>
      </c>
      <c r="Q55" s="44">
        <f t="shared" si="7"/>
        <v>0</v>
      </c>
    </row>
    <row r="56" spans="1:17" ht="15.75" customHeight="1">
      <c r="A56" s="23">
        <v>45</v>
      </c>
      <c r="B56" s="43">
        <f t="shared" si="0"/>
        <v>0</v>
      </c>
      <c r="C56" s="123">
        <f t="shared" si="2"/>
        <v>0</v>
      </c>
      <c r="D56" s="43">
        <f t="shared" si="3"/>
        <v>0</v>
      </c>
      <c r="E56" s="68">
        <f t="shared" si="4"/>
        <v>0</v>
      </c>
      <c r="G56" s="4198"/>
      <c r="H56" s="22" t="s">
        <v>25</v>
      </c>
      <c r="I56" s="43">
        <f>IF($B$8=12,B56,IF($B$8=4,0,IF($B$8=6,B34,IF($B$8=3,B23,0))))</f>
        <v>0</v>
      </c>
      <c r="J56" s="43">
        <f>IF($B$8=12,C56,IF($B$8=4,0,IF($B$8=6,C34,IF($B$8=3,C23,0))))</f>
        <v>0</v>
      </c>
      <c r="K56" s="68">
        <f>IF($B$8=12,D56,IF($B$8=4,0,IF($B$8=6,D34,IF($B$8=3,D23,0))))</f>
        <v>0</v>
      </c>
      <c r="M56" s="4195"/>
      <c r="N56" s="9" t="s">
        <v>25</v>
      </c>
      <c r="O56" s="43">
        <f t="shared" si="7"/>
        <v>0</v>
      </c>
      <c r="P56" s="43">
        <f t="shared" si="7"/>
        <v>0</v>
      </c>
      <c r="Q56" s="44">
        <f t="shared" si="7"/>
        <v>0</v>
      </c>
    </row>
    <row r="57" spans="1:17" ht="15.75" customHeight="1">
      <c r="A57" s="23">
        <v>46</v>
      </c>
      <c r="B57" s="43">
        <f t="shared" si="0"/>
        <v>0</v>
      </c>
      <c r="C57" s="123">
        <f t="shared" si="2"/>
        <v>0</v>
      </c>
      <c r="D57" s="43">
        <f t="shared" si="3"/>
        <v>0</v>
      </c>
      <c r="E57" s="68">
        <f t="shared" si="4"/>
        <v>0</v>
      </c>
      <c r="G57" s="4198"/>
      <c r="H57" s="22" t="s">
        <v>26</v>
      </c>
      <c r="I57" s="43">
        <f>IF($B$8=12,B57,IF($B$8=4,B27,IF($B$8=6,0,IF($B$8=3,0,0))))</f>
        <v>0</v>
      </c>
      <c r="J57" s="43">
        <f>IF($B$8=12,C57,IF($B$8=4,C27,IF($B$8=6,0,IF($B$8=3,0,0))))</f>
        <v>0</v>
      </c>
      <c r="K57" s="68">
        <f>IF($B$8=12,D57,IF($B$8=4,D27,IF($B$8=6,0,IF($B$8=3,0,0))))</f>
        <v>0</v>
      </c>
      <c r="M57" s="4195"/>
      <c r="N57" s="9" t="s">
        <v>26</v>
      </c>
      <c r="O57" s="43">
        <f t="shared" si="7"/>
        <v>0</v>
      </c>
      <c r="P57" s="43">
        <f t="shared" si="7"/>
        <v>0</v>
      </c>
      <c r="Q57" s="44">
        <f t="shared" si="7"/>
        <v>0</v>
      </c>
    </row>
    <row r="58" spans="1:17" ht="15.75" customHeight="1">
      <c r="A58" s="23">
        <v>47</v>
      </c>
      <c r="B58" s="43">
        <f t="shared" si="0"/>
        <v>0</v>
      </c>
      <c r="C58" s="123">
        <f t="shared" si="2"/>
        <v>0</v>
      </c>
      <c r="D58" s="43">
        <f t="shared" si="3"/>
        <v>0</v>
      </c>
      <c r="E58" s="68">
        <f t="shared" si="4"/>
        <v>0</v>
      </c>
      <c r="G58" s="4198"/>
      <c r="H58" s="22" t="s">
        <v>27</v>
      </c>
      <c r="I58" s="43">
        <f>IF($B$8=12,B58,IF($B$8=4,0,IF($B$8=6,B35,IF($B$8=3,0,0))))</f>
        <v>0</v>
      </c>
      <c r="J58" s="43">
        <f>IF($B$8=12,C58,IF($B$8=4,0,IF($B$8=6,C35,IF($B$8=3,0,0))))</f>
        <v>0</v>
      </c>
      <c r="K58" s="68">
        <f>IF($B$8=12,D58,IF($B$8=4,0,IF($B$8=6,D35,IF($B$8=3,0,0))))</f>
        <v>0</v>
      </c>
      <c r="M58" s="4195"/>
      <c r="N58" s="9" t="s">
        <v>27</v>
      </c>
      <c r="O58" s="43">
        <f t="shared" si="7"/>
        <v>0</v>
      </c>
      <c r="P58" s="43">
        <f t="shared" si="7"/>
        <v>0</v>
      </c>
      <c r="Q58" s="44">
        <f t="shared" si="7"/>
        <v>0</v>
      </c>
    </row>
    <row r="59" spans="1:17" ht="15.75" customHeight="1" thickBot="1">
      <c r="A59" s="24">
        <v>48</v>
      </c>
      <c r="B59" s="70">
        <f t="shared" si="0"/>
        <v>0</v>
      </c>
      <c r="C59" s="139">
        <f t="shared" si="2"/>
        <v>0</v>
      </c>
      <c r="D59" s="70">
        <f t="shared" si="3"/>
        <v>0</v>
      </c>
      <c r="E59" s="75">
        <f t="shared" si="4"/>
        <v>0</v>
      </c>
      <c r="G59" s="4199"/>
      <c r="H59" s="25" t="s">
        <v>28</v>
      </c>
      <c r="I59" s="70">
        <f>IF($B$8=12,B59,IF($B$8=4,0,IF($B$8=6,0,IF($B$8=3,0,0))))</f>
        <v>0</v>
      </c>
      <c r="J59" s="70">
        <f>IF($B$8=12,C59,IF($B$8=4,0,IF($B$8=6,0,IF($B$8=3,0,0))))</f>
        <v>0</v>
      </c>
      <c r="K59" s="72">
        <f>IF($B$8=12,D59,IF($B$8=4,0,IF($B$8=6,0,IF($B$8=3,0,0))))</f>
        <v>0</v>
      </c>
      <c r="M59" s="4196"/>
      <c r="N59" s="35" t="s">
        <v>28</v>
      </c>
      <c r="O59" s="45">
        <f t="shared" si="7"/>
        <v>0</v>
      </c>
      <c r="P59" s="45">
        <f t="shared" si="7"/>
        <v>0</v>
      </c>
      <c r="Q59" s="46">
        <f t="shared" si="7"/>
        <v>0</v>
      </c>
    </row>
    <row r="60" spans="1:17" ht="15.75" customHeight="1">
      <c r="A60" s="23">
        <v>49</v>
      </c>
      <c r="B60" s="43">
        <f t="shared" si="0"/>
        <v>0</v>
      </c>
      <c r="C60" s="123">
        <f t="shared" si="2"/>
        <v>0</v>
      </c>
      <c r="D60" s="43">
        <f t="shared" si="3"/>
        <v>0</v>
      </c>
      <c r="E60" s="68">
        <f t="shared" si="4"/>
        <v>0</v>
      </c>
      <c r="G60" s="4197">
        <v>2019</v>
      </c>
      <c r="H60" s="22" t="s">
        <v>17</v>
      </c>
      <c r="I60" s="43">
        <f>IF($B$8=12,B60,IF($B$8=4,B28,IF($B$8=6,B36,IF($B$8=3,B24,IF($B$8=2,B20,IF($B$8=1,B16,0))))))</f>
        <v>0</v>
      </c>
      <c r="J60" s="43">
        <f>IF($B$8=12,C60,IF($B$8=4,C28,IF($B$8=6,C36,IF($B$8=3,C24,IF($B$8=2,C20,IF($B$8=1,C16,0))))))</f>
        <v>0</v>
      </c>
      <c r="K60" s="68">
        <f>IF($B$8=12,D60,IF($B$8=4,D28,IF($B$8=6,D36,IF($B$8=3,D24,IF($B$8=2,D20,IF($B$8=1,D16,0))))))</f>
        <v>0</v>
      </c>
      <c r="M60" s="4194">
        <v>2019</v>
      </c>
      <c r="N60" s="9" t="s">
        <v>17</v>
      </c>
      <c r="O60" s="76">
        <f t="shared" ref="O60:Q75" si="8">IF($I$6=5,I12,IF($I$6=4,I24,IF($I$6=3,I36,IF($I$6=2,I48,IF($I$6=1,I60,0)))))</f>
        <v>0</v>
      </c>
      <c r="P60" s="76">
        <f t="shared" si="8"/>
        <v>0</v>
      </c>
      <c r="Q60" s="77">
        <f t="shared" si="8"/>
        <v>0</v>
      </c>
    </row>
    <row r="61" spans="1:17" ht="15.75" customHeight="1">
      <c r="A61" s="23">
        <v>50</v>
      </c>
      <c r="B61" s="43">
        <f t="shared" si="0"/>
        <v>0</v>
      </c>
      <c r="C61" s="123">
        <f t="shared" si="2"/>
        <v>0</v>
      </c>
      <c r="D61" s="43">
        <f t="shared" si="3"/>
        <v>0</v>
      </c>
      <c r="E61" s="68">
        <f t="shared" si="4"/>
        <v>0</v>
      </c>
      <c r="G61" s="4198"/>
      <c r="H61" s="22" t="s">
        <v>18</v>
      </c>
      <c r="I61" s="43">
        <f>IF($B$8=12,B61,0)</f>
        <v>0</v>
      </c>
      <c r="J61" s="43">
        <f>IF($B$8=12,C61,0)</f>
        <v>0</v>
      </c>
      <c r="K61" s="68">
        <f>IF($B$8=12,D61,0)</f>
        <v>0</v>
      </c>
      <c r="M61" s="4195"/>
      <c r="N61" s="9" t="s">
        <v>18</v>
      </c>
      <c r="O61" s="43">
        <f t="shared" si="8"/>
        <v>0</v>
      </c>
      <c r="P61" s="43">
        <f t="shared" si="8"/>
        <v>0</v>
      </c>
      <c r="Q61" s="44">
        <f t="shared" si="8"/>
        <v>0</v>
      </c>
    </row>
    <row r="62" spans="1:17" ht="15.75" customHeight="1">
      <c r="A62" s="23">
        <v>51</v>
      </c>
      <c r="B62" s="43">
        <f t="shared" si="0"/>
        <v>0</v>
      </c>
      <c r="C62" s="123">
        <f t="shared" si="2"/>
        <v>0</v>
      </c>
      <c r="D62" s="43">
        <f t="shared" si="3"/>
        <v>0</v>
      </c>
      <c r="E62" s="68">
        <f t="shared" si="4"/>
        <v>0</v>
      </c>
      <c r="G62" s="4198"/>
      <c r="H62" s="22" t="s">
        <v>19</v>
      </c>
      <c r="I62" s="43">
        <f>IF($B$8=12,B62,IF($B$8=6,B37,0))</f>
        <v>0</v>
      </c>
      <c r="J62" s="43">
        <f>IF($B$8=12,C62,IF($B$8=6,C37,0))</f>
        <v>0</v>
      </c>
      <c r="K62" s="68">
        <f>IF($B$8=12,D62,IF($B$8=6,D37,0))</f>
        <v>0</v>
      </c>
      <c r="M62" s="4195"/>
      <c r="N62" s="9" t="s">
        <v>19</v>
      </c>
      <c r="O62" s="43">
        <f t="shared" si="8"/>
        <v>0</v>
      </c>
      <c r="P62" s="43">
        <f t="shared" si="8"/>
        <v>0</v>
      </c>
      <c r="Q62" s="44">
        <f t="shared" si="8"/>
        <v>0</v>
      </c>
    </row>
    <row r="63" spans="1:17" ht="15.75" customHeight="1">
      <c r="A63" s="23">
        <v>52</v>
      </c>
      <c r="B63" s="43">
        <f t="shared" si="0"/>
        <v>0</v>
      </c>
      <c r="C63" s="123">
        <f t="shared" si="2"/>
        <v>0</v>
      </c>
      <c r="D63" s="43">
        <f t="shared" si="3"/>
        <v>0</v>
      </c>
      <c r="E63" s="68">
        <f t="shared" si="4"/>
        <v>0</v>
      </c>
      <c r="G63" s="4198"/>
      <c r="H63" s="22" t="s">
        <v>20</v>
      </c>
      <c r="I63" s="43">
        <f>IF($B$8=12,B63,IF($B$8=4,B29,IF($B$8=6,0,IF($B$8=3,0,0))))</f>
        <v>0</v>
      </c>
      <c r="J63" s="43">
        <f>IF($B$8=12,C63,IF($B$8=4,C29,IF($B$8=6,0,IF($B$8=3,0,0))))</f>
        <v>0</v>
      </c>
      <c r="K63" s="68">
        <f>IF($B$8=12,D63,IF($B$8=4,D29,IF($B$8=6,0,IF($B$8=3,0,0))))</f>
        <v>0</v>
      </c>
      <c r="M63" s="4195"/>
      <c r="N63" s="9" t="s">
        <v>20</v>
      </c>
      <c r="O63" s="43">
        <f t="shared" si="8"/>
        <v>0</v>
      </c>
      <c r="P63" s="43">
        <f t="shared" si="8"/>
        <v>0</v>
      </c>
      <c r="Q63" s="44">
        <f t="shared" si="8"/>
        <v>0</v>
      </c>
    </row>
    <row r="64" spans="1:17" ht="15.75" customHeight="1">
      <c r="A64" s="23">
        <v>53</v>
      </c>
      <c r="B64" s="43">
        <f t="shared" si="0"/>
        <v>0</v>
      </c>
      <c r="C64" s="123">
        <f t="shared" si="2"/>
        <v>0</v>
      </c>
      <c r="D64" s="43">
        <f t="shared" si="3"/>
        <v>0</v>
      </c>
      <c r="E64" s="68">
        <f t="shared" si="4"/>
        <v>0</v>
      </c>
      <c r="G64" s="4198"/>
      <c r="H64" s="22" t="s">
        <v>21</v>
      </c>
      <c r="I64" s="43">
        <f>IF($B$8=12,B64,IF($B$8=4,0,IF($B$8=6,B38,IF($B$8=3,B25,0))))</f>
        <v>0</v>
      </c>
      <c r="J64" s="43">
        <f>IF($B$8=12,C64,IF($B$8=4,0,IF($B$8=6,C38,IF($B$8=3,C25,0))))</f>
        <v>0</v>
      </c>
      <c r="K64" s="68">
        <f>IF($B$8=12,D64,IF($B$8=4,0,IF($B$8=6,D38,IF($B$8=3,D25,0))))</f>
        <v>0</v>
      </c>
      <c r="M64" s="4195"/>
      <c r="N64" s="9" t="s">
        <v>21</v>
      </c>
      <c r="O64" s="43">
        <f t="shared" si="8"/>
        <v>0</v>
      </c>
      <c r="P64" s="43">
        <f t="shared" si="8"/>
        <v>0</v>
      </c>
      <c r="Q64" s="44">
        <f t="shared" si="8"/>
        <v>0</v>
      </c>
    </row>
    <row r="65" spans="1:17" ht="15.75" customHeight="1">
      <c r="A65" s="23">
        <v>54</v>
      </c>
      <c r="B65" s="43">
        <f t="shared" si="0"/>
        <v>0</v>
      </c>
      <c r="C65" s="123">
        <f t="shared" si="2"/>
        <v>0</v>
      </c>
      <c r="D65" s="43">
        <f t="shared" si="3"/>
        <v>0</v>
      </c>
      <c r="E65" s="68">
        <f t="shared" si="4"/>
        <v>0</v>
      </c>
      <c r="G65" s="4198"/>
      <c r="H65" s="22" t="s">
        <v>22</v>
      </c>
      <c r="I65" s="43">
        <f>IF($B$8=12,B65,IF($B$8=4,0,IF($B$8=6,0,IF($B$8=3,0,0))))</f>
        <v>0</v>
      </c>
      <c r="J65" s="43">
        <f>IF($B$8=12,C65,IF($B$8=4,0,IF($B$8=6,0,IF($B$8=3,0,0))))</f>
        <v>0</v>
      </c>
      <c r="K65" s="68">
        <f>IF($B$8=12,D65,IF($B$8=4,0,IF($B$8=6,0,IF($B$8=3,0,0))))</f>
        <v>0</v>
      </c>
      <c r="M65" s="4195"/>
      <c r="N65" s="9" t="s">
        <v>22</v>
      </c>
      <c r="O65" s="43">
        <f t="shared" si="8"/>
        <v>0</v>
      </c>
      <c r="P65" s="43">
        <f t="shared" si="8"/>
        <v>0</v>
      </c>
      <c r="Q65" s="44">
        <f t="shared" si="8"/>
        <v>0</v>
      </c>
    </row>
    <row r="66" spans="1:17" ht="15.75" customHeight="1">
      <c r="A66" s="23">
        <v>55</v>
      </c>
      <c r="B66" s="43">
        <f t="shared" si="0"/>
        <v>0</v>
      </c>
      <c r="C66" s="123">
        <f t="shared" si="2"/>
        <v>0</v>
      </c>
      <c r="D66" s="43">
        <f t="shared" si="3"/>
        <v>0</v>
      </c>
      <c r="E66" s="68">
        <f t="shared" si="4"/>
        <v>0</v>
      </c>
      <c r="G66" s="4198"/>
      <c r="H66" s="22" t="s">
        <v>23</v>
      </c>
      <c r="I66" s="43">
        <f>IF($B$8=12,B66,IF($B$8=4,B30,IF($B$8=6,B39,IF($B$8=3,0,IF($B$8=2,B21,0)))))</f>
        <v>0</v>
      </c>
      <c r="J66" s="43">
        <f>IF($B$8=12,C66,IF($B$8=4,C30,IF($B$8=6,C39,IF($B$8=3,0,IF($B$8=2,C21,0)))))</f>
        <v>0</v>
      </c>
      <c r="K66" s="68">
        <f>IF($B$8=12,D66,IF($B$8=4,D30,IF($B$8=6,D39,IF($B$8=3,0,IF($B$8=2,D21,0)))))</f>
        <v>0</v>
      </c>
      <c r="M66" s="4195"/>
      <c r="N66" s="9" t="s">
        <v>23</v>
      </c>
      <c r="O66" s="43">
        <f t="shared" si="8"/>
        <v>0</v>
      </c>
      <c r="P66" s="43">
        <f t="shared" si="8"/>
        <v>0</v>
      </c>
      <c r="Q66" s="44">
        <f t="shared" si="8"/>
        <v>0</v>
      </c>
    </row>
    <row r="67" spans="1:17" ht="15.75" customHeight="1">
      <c r="A67" s="23">
        <v>56</v>
      </c>
      <c r="B67" s="43">
        <f t="shared" si="0"/>
        <v>0</v>
      </c>
      <c r="C67" s="123">
        <f t="shared" si="2"/>
        <v>0</v>
      </c>
      <c r="D67" s="43">
        <f t="shared" si="3"/>
        <v>0</v>
      </c>
      <c r="E67" s="68">
        <f t="shared" si="4"/>
        <v>0</v>
      </c>
      <c r="G67" s="4198"/>
      <c r="H67" s="22" t="s">
        <v>24</v>
      </c>
      <c r="I67" s="43">
        <f>IF($B$8=12,B67,IF($B$8=4,0,IF($B$8=6,0,IF($B$8=3,0,0))))</f>
        <v>0</v>
      </c>
      <c r="J67" s="43">
        <f>IF($B$8=12,C67,IF($B$8=4,0,IF($B$8=6,0,IF($B$8=3,0,0))))</f>
        <v>0</v>
      </c>
      <c r="K67" s="68">
        <f>IF($B$8=12,D67,IF($B$8=4,0,IF($B$8=6,0,IF($B$8=3,0,0))))</f>
        <v>0</v>
      </c>
      <c r="M67" s="4195"/>
      <c r="N67" s="9" t="s">
        <v>24</v>
      </c>
      <c r="O67" s="43">
        <f t="shared" si="8"/>
        <v>0</v>
      </c>
      <c r="P67" s="43">
        <f t="shared" si="8"/>
        <v>0</v>
      </c>
      <c r="Q67" s="44">
        <f t="shared" si="8"/>
        <v>0</v>
      </c>
    </row>
    <row r="68" spans="1:17" ht="15.75" customHeight="1">
      <c r="A68" s="23">
        <v>57</v>
      </c>
      <c r="B68" s="43">
        <f t="shared" si="0"/>
        <v>0</v>
      </c>
      <c r="C68" s="123">
        <f t="shared" si="2"/>
        <v>0</v>
      </c>
      <c r="D68" s="43">
        <f t="shared" si="3"/>
        <v>0</v>
      </c>
      <c r="E68" s="68">
        <f t="shared" si="4"/>
        <v>0</v>
      </c>
      <c r="G68" s="4198"/>
      <c r="H68" s="22" t="s">
        <v>25</v>
      </c>
      <c r="I68" s="43">
        <f>IF($B$8=12,B68,IF($B$8=4,0,IF($B$8=6,B40,IF($B$8=3,B26,0))))</f>
        <v>0</v>
      </c>
      <c r="J68" s="43">
        <f>IF($B$8=12,C68,IF($B$8=4,0,IF($B$8=6,C40,IF($B$8=3,C26,0))))</f>
        <v>0</v>
      </c>
      <c r="K68" s="68">
        <f>IF($B$8=12,D68,IF($B$8=4,0,IF($B$8=6,D40,IF($B$8=3,D26,0))))</f>
        <v>0</v>
      </c>
      <c r="M68" s="4195"/>
      <c r="N68" s="9" t="s">
        <v>25</v>
      </c>
      <c r="O68" s="43">
        <f t="shared" si="8"/>
        <v>0</v>
      </c>
      <c r="P68" s="43">
        <f t="shared" si="8"/>
        <v>0</v>
      </c>
      <c r="Q68" s="44">
        <f t="shared" si="8"/>
        <v>0</v>
      </c>
    </row>
    <row r="69" spans="1:17" ht="15.75" customHeight="1">
      <c r="A69" s="23">
        <v>58</v>
      </c>
      <c r="B69" s="43">
        <f t="shared" si="0"/>
        <v>0</v>
      </c>
      <c r="C69" s="123">
        <f t="shared" si="2"/>
        <v>0</v>
      </c>
      <c r="D69" s="43">
        <f t="shared" si="3"/>
        <v>0</v>
      </c>
      <c r="E69" s="68">
        <f t="shared" si="4"/>
        <v>0</v>
      </c>
      <c r="G69" s="4198"/>
      <c r="H69" s="22" t="s">
        <v>26</v>
      </c>
      <c r="I69" s="43">
        <f>IF($B$8=12,B69,IF($B$8=4,B31,IF($B$8=6,0,IF($B$8=3,0,0))))</f>
        <v>0</v>
      </c>
      <c r="J69" s="43">
        <f>IF($B$8=12,C69,IF($B$8=4,C31,IF($B$8=6,0,IF($B$8=3,0,0))))</f>
        <v>0</v>
      </c>
      <c r="K69" s="68">
        <f>IF($B$8=12,D69,IF($B$8=4,D31,IF($B$8=6,0,IF($B$8=3,0,0))))</f>
        <v>0</v>
      </c>
      <c r="M69" s="4195"/>
      <c r="N69" s="9" t="s">
        <v>26</v>
      </c>
      <c r="O69" s="43">
        <f t="shared" si="8"/>
        <v>0</v>
      </c>
      <c r="P69" s="43">
        <f t="shared" si="8"/>
        <v>0</v>
      </c>
      <c r="Q69" s="44">
        <f t="shared" si="8"/>
        <v>0</v>
      </c>
    </row>
    <row r="70" spans="1:17" ht="15.75" customHeight="1">
      <c r="A70" s="23">
        <v>59</v>
      </c>
      <c r="B70" s="43">
        <f t="shared" si="0"/>
        <v>0</v>
      </c>
      <c r="C70" s="123">
        <f t="shared" si="2"/>
        <v>0</v>
      </c>
      <c r="D70" s="43">
        <f t="shared" si="3"/>
        <v>0</v>
      </c>
      <c r="E70" s="68">
        <f t="shared" si="4"/>
        <v>0</v>
      </c>
      <c r="G70" s="4198"/>
      <c r="H70" s="22" t="s">
        <v>27</v>
      </c>
      <c r="I70" s="43">
        <f>IF($B$8=12,B70,IF($B$8=4,0,IF($B$8=6,B41,IF($B$8=3,0,0))))</f>
        <v>0</v>
      </c>
      <c r="J70" s="43">
        <f>IF($B$8=12,C70,IF($B$8=4,0,IF($B$8=6,C41,IF($B$8=3,0,0))))</f>
        <v>0</v>
      </c>
      <c r="K70" s="68">
        <f>IF($B$8=12,D70,IF($B$8=4,0,IF($B$8=6,D41,IF($B$8=3,0,0))))</f>
        <v>0</v>
      </c>
      <c r="M70" s="4195"/>
      <c r="N70" s="9" t="s">
        <v>27</v>
      </c>
      <c r="O70" s="43">
        <f t="shared" si="8"/>
        <v>0</v>
      </c>
      <c r="P70" s="43">
        <f t="shared" si="8"/>
        <v>0</v>
      </c>
      <c r="Q70" s="44">
        <f t="shared" si="8"/>
        <v>0</v>
      </c>
    </row>
    <row r="71" spans="1:17" ht="15.75" customHeight="1" thickBot="1">
      <c r="A71" s="26">
        <v>60</v>
      </c>
      <c r="B71" s="48">
        <f t="shared" si="0"/>
        <v>0</v>
      </c>
      <c r="C71" s="138">
        <f t="shared" si="2"/>
        <v>0</v>
      </c>
      <c r="D71" s="48">
        <f t="shared" si="3"/>
        <v>0</v>
      </c>
      <c r="E71" s="49">
        <f t="shared" si="4"/>
        <v>0</v>
      </c>
      <c r="G71" s="4199"/>
      <c r="H71" s="38" t="s">
        <v>28</v>
      </c>
      <c r="I71" s="48">
        <f>IF($B$8=12,B71,IF($B$8=4,0,IF($B$8=6,0,IF($B$8=3,0,0))))</f>
        <v>0</v>
      </c>
      <c r="J71" s="48">
        <f>IF($B$8=12,C71,IF($B$8=4,0,IF($B$8=6,0,IF($B$8=3,0,0))))</f>
        <v>0</v>
      </c>
      <c r="K71" s="79">
        <f>IF($B$8=12,D71,IF($B$8=4,0,IF($B$8=6,0,IF($B$8=3,0,0))))</f>
        <v>0</v>
      </c>
      <c r="M71" s="4196"/>
      <c r="N71" s="36" t="s">
        <v>28</v>
      </c>
      <c r="O71" s="48">
        <f t="shared" si="8"/>
        <v>0</v>
      </c>
      <c r="P71" s="48">
        <f t="shared" si="8"/>
        <v>0</v>
      </c>
      <c r="Q71" s="49">
        <f t="shared" si="8"/>
        <v>0</v>
      </c>
    </row>
    <row r="72" spans="1:17" ht="16.5" thickTop="1">
      <c r="A72" s="23">
        <v>61</v>
      </c>
      <c r="B72" s="43">
        <f t="shared" si="0"/>
        <v>0</v>
      </c>
      <c r="C72" s="123">
        <f t="shared" si="2"/>
        <v>0</v>
      </c>
      <c r="D72" s="43">
        <f t="shared" si="3"/>
        <v>0</v>
      </c>
      <c r="E72" s="44">
        <f t="shared" si="4"/>
        <v>0</v>
      </c>
      <c r="H72" s="22" t="s">
        <v>17</v>
      </c>
      <c r="I72" s="43">
        <f t="shared" ref="I72:K83" si="9">IF($B$8=12,B72,IF($B$8=4,0,IF($B$8=6,0,IF($B$8=3,0,0))))</f>
        <v>0</v>
      </c>
      <c r="J72" s="43">
        <f t="shared" si="9"/>
        <v>0</v>
      </c>
      <c r="K72" s="68">
        <f t="shared" si="9"/>
        <v>0</v>
      </c>
      <c r="N72" s="9" t="s">
        <v>17</v>
      </c>
      <c r="O72" s="43">
        <f t="shared" si="8"/>
        <v>0</v>
      </c>
      <c r="P72" s="43">
        <f t="shared" si="8"/>
        <v>0</v>
      </c>
      <c r="Q72" s="44">
        <f t="shared" si="8"/>
        <v>0</v>
      </c>
    </row>
    <row r="73" spans="1:17">
      <c r="A73" s="23">
        <v>62</v>
      </c>
      <c r="B73" s="43">
        <f t="shared" si="0"/>
        <v>0</v>
      </c>
      <c r="C73" s="123">
        <f t="shared" si="2"/>
        <v>0</v>
      </c>
      <c r="D73" s="43">
        <f t="shared" si="3"/>
        <v>0</v>
      </c>
      <c r="E73" s="44">
        <f t="shared" si="4"/>
        <v>0</v>
      </c>
      <c r="H73" s="22" t="s">
        <v>18</v>
      </c>
      <c r="I73" s="43">
        <f t="shared" si="9"/>
        <v>0</v>
      </c>
      <c r="J73" s="43">
        <f t="shared" si="9"/>
        <v>0</v>
      </c>
      <c r="K73" s="68">
        <f t="shared" si="9"/>
        <v>0</v>
      </c>
      <c r="N73" s="9" t="s">
        <v>18</v>
      </c>
      <c r="O73" s="43">
        <f t="shared" si="8"/>
        <v>0</v>
      </c>
      <c r="P73" s="43">
        <f t="shared" si="8"/>
        <v>0</v>
      </c>
      <c r="Q73" s="44">
        <f t="shared" si="8"/>
        <v>0</v>
      </c>
    </row>
    <row r="74" spans="1:17">
      <c r="A74" s="23">
        <v>63</v>
      </c>
      <c r="B74" s="43">
        <f t="shared" si="0"/>
        <v>0</v>
      </c>
      <c r="C74" s="123">
        <f t="shared" si="2"/>
        <v>0</v>
      </c>
      <c r="D74" s="43">
        <f t="shared" si="3"/>
        <v>0</v>
      </c>
      <c r="E74" s="44">
        <f t="shared" si="4"/>
        <v>0</v>
      </c>
      <c r="H74" s="22" t="s">
        <v>19</v>
      </c>
      <c r="I74" s="43">
        <f t="shared" si="9"/>
        <v>0</v>
      </c>
      <c r="J74" s="43">
        <f t="shared" si="9"/>
        <v>0</v>
      </c>
      <c r="K74" s="68">
        <f t="shared" si="9"/>
        <v>0</v>
      </c>
      <c r="N74" s="9" t="s">
        <v>19</v>
      </c>
      <c r="O74" s="43">
        <f t="shared" si="8"/>
        <v>0</v>
      </c>
      <c r="P74" s="43">
        <f t="shared" si="8"/>
        <v>0</v>
      </c>
      <c r="Q74" s="44">
        <f t="shared" si="8"/>
        <v>0</v>
      </c>
    </row>
    <row r="75" spans="1:17">
      <c r="A75" s="23">
        <v>64</v>
      </c>
      <c r="B75" s="43">
        <f t="shared" si="0"/>
        <v>0</v>
      </c>
      <c r="C75" s="123">
        <f t="shared" si="2"/>
        <v>0</v>
      </c>
      <c r="D75" s="43">
        <f t="shared" si="3"/>
        <v>0</v>
      </c>
      <c r="E75" s="44">
        <f t="shared" si="4"/>
        <v>0</v>
      </c>
      <c r="H75" s="22" t="s">
        <v>20</v>
      </c>
      <c r="I75" s="43">
        <f t="shared" si="9"/>
        <v>0</v>
      </c>
      <c r="J75" s="43">
        <f t="shared" si="9"/>
        <v>0</v>
      </c>
      <c r="K75" s="68">
        <f t="shared" si="9"/>
        <v>0</v>
      </c>
      <c r="N75" s="9" t="s">
        <v>20</v>
      </c>
      <c r="O75" s="43">
        <f t="shared" si="8"/>
        <v>0</v>
      </c>
      <c r="P75" s="43">
        <f t="shared" si="8"/>
        <v>0</v>
      </c>
      <c r="Q75" s="44">
        <f t="shared" si="8"/>
        <v>0</v>
      </c>
    </row>
    <row r="76" spans="1:17">
      <c r="A76" s="23">
        <v>65</v>
      </c>
      <c r="B76" s="43">
        <f t="shared" ref="B76:B83" si="10">IF(A76&gt;$I$9,IF(E75&gt;1,PMT($B$6/$B$8,$B$7*$B$8,-$B$5),0),0)</f>
        <v>0</v>
      </c>
      <c r="C76" s="123">
        <f t="shared" si="2"/>
        <v>0</v>
      </c>
      <c r="D76" s="43">
        <f t="shared" si="3"/>
        <v>0</v>
      </c>
      <c r="E76" s="44">
        <f t="shared" si="4"/>
        <v>0</v>
      </c>
      <c r="H76" s="22" t="s">
        <v>21</v>
      </c>
      <c r="I76" s="43">
        <f t="shared" si="9"/>
        <v>0</v>
      </c>
      <c r="J76" s="43">
        <f t="shared" si="9"/>
        <v>0</v>
      </c>
      <c r="K76" s="68">
        <f t="shared" si="9"/>
        <v>0</v>
      </c>
      <c r="N76" s="9" t="s">
        <v>21</v>
      </c>
      <c r="O76" s="43">
        <f t="shared" ref="O76:Q83" si="11">IF($I$6=5,I28,IF($I$6=4,I40,IF($I$6=3,I52,IF($I$6=2,I64,IF($I$6=1,I76,0)))))</f>
        <v>0</v>
      </c>
      <c r="P76" s="43">
        <f t="shared" si="11"/>
        <v>0</v>
      </c>
      <c r="Q76" s="44">
        <f t="shared" si="11"/>
        <v>0</v>
      </c>
    </row>
    <row r="77" spans="1:17">
      <c r="A77" s="23">
        <v>66</v>
      </c>
      <c r="B77" s="43">
        <f t="shared" si="10"/>
        <v>0</v>
      </c>
      <c r="C77" s="123">
        <f t="shared" ref="C77:C83" si="12">IF(B77&gt;0,B77-D77,E77*($B$6/$B$8))</f>
        <v>0</v>
      </c>
      <c r="D77" s="43">
        <f t="shared" ref="D77:D83" si="13">IF(A77&gt;$I$9,B77-(E76*($B$6/$B$8)),0)</f>
        <v>0</v>
      </c>
      <c r="E77" s="44">
        <f t="shared" ref="E77:E83" si="14">IF((E76-D77)&gt;0,E76-D77,0)</f>
        <v>0</v>
      </c>
      <c r="H77" s="22" t="s">
        <v>22</v>
      </c>
      <c r="I77" s="43">
        <f t="shared" si="9"/>
        <v>0</v>
      </c>
      <c r="J77" s="43">
        <f t="shared" si="9"/>
        <v>0</v>
      </c>
      <c r="K77" s="68">
        <f t="shared" si="9"/>
        <v>0</v>
      </c>
      <c r="N77" s="9" t="s">
        <v>22</v>
      </c>
      <c r="O77" s="43">
        <f t="shared" si="11"/>
        <v>0</v>
      </c>
      <c r="P77" s="43">
        <f t="shared" si="11"/>
        <v>0</v>
      </c>
      <c r="Q77" s="44">
        <f t="shared" si="11"/>
        <v>0</v>
      </c>
    </row>
    <row r="78" spans="1:17">
      <c r="A78" s="23">
        <v>67</v>
      </c>
      <c r="B78" s="43">
        <f t="shared" si="10"/>
        <v>0</v>
      </c>
      <c r="C78" s="123">
        <f t="shared" si="12"/>
        <v>0</v>
      </c>
      <c r="D78" s="43">
        <f t="shared" si="13"/>
        <v>0</v>
      </c>
      <c r="E78" s="44">
        <f t="shared" si="14"/>
        <v>0</v>
      </c>
      <c r="H78" s="22" t="s">
        <v>23</v>
      </c>
      <c r="I78" s="43">
        <f t="shared" si="9"/>
        <v>0</v>
      </c>
      <c r="J78" s="43">
        <f t="shared" si="9"/>
        <v>0</v>
      </c>
      <c r="K78" s="68">
        <f t="shared" si="9"/>
        <v>0</v>
      </c>
      <c r="N78" s="9" t="s">
        <v>23</v>
      </c>
      <c r="O78" s="43">
        <f t="shared" si="11"/>
        <v>0</v>
      </c>
      <c r="P78" s="43">
        <f t="shared" si="11"/>
        <v>0</v>
      </c>
      <c r="Q78" s="44">
        <f t="shared" si="11"/>
        <v>0</v>
      </c>
    </row>
    <row r="79" spans="1:17">
      <c r="A79" s="23">
        <v>68</v>
      </c>
      <c r="B79" s="43">
        <f t="shared" si="10"/>
        <v>0</v>
      </c>
      <c r="C79" s="123">
        <f t="shared" si="12"/>
        <v>0</v>
      </c>
      <c r="D79" s="43">
        <f t="shared" si="13"/>
        <v>0</v>
      </c>
      <c r="E79" s="44">
        <f t="shared" si="14"/>
        <v>0</v>
      </c>
      <c r="H79" s="22" t="s">
        <v>24</v>
      </c>
      <c r="I79" s="43">
        <f t="shared" si="9"/>
        <v>0</v>
      </c>
      <c r="J79" s="43">
        <f t="shared" si="9"/>
        <v>0</v>
      </c>
      <c r="K79" s="68">
        <f t="shared" si="9"/>
        <v>0</v>
      </c>
      <c r="N79" s="9" t="s">
        <v>24</v>
      </c>
      <c r="O79" s="43">
        <f t="shared" si="11"/>
        <v>0</v>
      </c>
      <c r="P79" s="43">
        <f t="shared" si="11"/>
        <v>0</v>
      </c>
      <c r="Q79" s="44">
        <f t="shared" si="11"/>
        <v>0</v>
      </c>
    </row>
    <row r="80" spans="1:17">
      <c r="A80" s="23">
        <v>69</v>
      </c>
      <c r="B80" s="43">
        <f t="shared" si="10"/>
        <v>0</v>
      </c>
      <c r="C80" s="123">
        <f t="shared" si="12"/>
        <v>0</v>
      </c>
      <c r="D80" s="43">
        <f t="shared" si="13"/>
        <v>0</v>
      </c>
      <c r="E80" s="44">
        <f t="shared" si="14"/>
        <v>0</v>
      </c>
      <c r="H80" s="22" t="s">
        <v>25</v>
      </c>
      <c r="I80" s="43">
        <f t="shared" si="9"/>
        <v>0</v>
      </c>
      <c r="J80" s="43">
        <f t="shared" si="9"/>
        <v>0</v>
      </c>
      <c r="K80" s="68">
        <f t="shared" si="9"/>
        <v>0</v>
      </c>
      <c r="N80" s="9" t="s">
        <v>25</v>
      </c>
      <c r="O80" s="43">
        <f t="shared" si="11"/>
        <v>0</v>
      </c>
      <c r="P80" s="43">
        <f t="shared" si="11"/>
        <v>0</v>
      </c>
      <c r="Q80" s="44">
        <f t="shared" si="11"/>
        <v>0</v>
      </c>
    </row>
    <row r="81" spans="1:17">
      <c r="A81" s="23">
        <v>70</v>
      </c>
      <c r="B81" s="43">
        <f t="shared" si="10"/>
        <v>0</v>
      </c>
      <c r="C81" s="123">
        <f t="shared" si="12"/>
        <v>0</v>
      </c>
      <c r="D81" s="43">
        <f t="shared" si="13"/>
        <v>0</v>
      </c>
      <c r="E81" s="44">
        <f t="shared" si="14"/>
        <v>0</v>
      </c>
      <c r="H81" s="22" t="s">
        <v>26</v>
      </c>
      <c r="I81" s="43">
        <f t="shared" si="9"/>
        <v>0</v>
      </c>
      <c r="J81" s="43">
        <f t="shared" si="9"/>
        <v>0</v>
      </c>
      <c r="K81" s="68">
        <f t="shared" si="9"/>
        <v>0</v>
      </c>
      <c r="N81" s="9" t="s">
        <v>26</v>
      </c>
      <c r="O81" s="43">
        <f t="shared" si="11"/>
        <v>0</v>
      </c>
      <c r="P81" s="43">
        <f t="shared" si="11"/>
        <v>0</v>
      </c>
      <c r="Q81" s="44">
        <f t="shared" si="11"/>
        <v>0</v>
      </c>
    </row>
    <row r="82" spans="1:17">
      <c r="A82" s="23">
        <v>71</v>
      </c>
      <c r="B82" s="43">
        <f t="shared" si="10"/>
        <v>0</v>
      </c>
      <c r="C82" s="123">
        <f t="shared" si="12"/>
        <v>0</v>
      </c>
      <c r="D82" s="43">
        <f t="shared" si="13"/>
        <v>0</v>
      </c>
      <c r="E82" s="44">
        <f t="shared" si="14"/>
        <v>0</v>
      </c>
      <c r="H82" s="22" t="s">
        <v>27</v>
      </c>
      <c r="I82" s="43">
        <f t="shared" si="9"/>
        <v>0</v>
      </c>
      <c r="J82" s="43">
        <f t="shared" si="9"/>
        <v>0</v>
      </c>
      <c r="K82" s="68">
        <f t="shared" si="9"/>
        <v>0</v>
      </c>
      <c r="N82" s="9" t="s">
        <v>27</v>
      </c>
      <c r="O82" s="43">
        <f t="shared" si="11"/>
        <v>0</v>
      </c>
      <c r="P82" s="43">
        <f t="shared" si="11"/>
        <v>0</v>
      </c>
      <c r="Q82" s="44">
        <f t="shared" si="11"/>
        <v>0</v>
      </c>
    </row>
    <row r="83" spans="1:17" ht="16.5" thickBot="1">
      <c r="A83" s="26">
        <v>72</v>
      </c>
      <c r="B83" s="48">
        <f t="shared" si="10"/>
        <v>0</v>
      </c>
      <c r="C83" s="138">
        <f t="shared" si="12"/>
        <v>0</v>
      </c>
      <c r="D83" s="48">
        <f t="shared" si="13"/>
        <v>0</v>
      </c>
      <c r="E83" s="49">
        <f t="shared" si="14"/>
        <v>0</v>
      </c>
      <c r="H83" s="38" t="s">
        <v>28</v>
      </c>
      <c r="I83" s="48">
        <f t="shared" si="9"/>
        <v>0</v>
      </c>
      <c r="J83" s="48">
        <f t="shared" si="9"/>
        <v>0</v>
      </c>
      <c r="K83" s="79">
        <f t="shared" si="9"/>
        <v>0</v>
      </c>
      <c r="N83" s="36" t="s">
        <v>28</v>
      </c>
      <c r="O83" s="48">
        <f t="shared" si="11"/>
        <v>0</v>
      </c>
      <c r="P83" s="48">
        <f t="shared" si="11"/>
        <v>0</v>
      </c>
      <c r="Q83" s="49">
        <f t="shared" si="11"/>
        <v>0</v>
      </c>
    </row>
    <row r="84" spans="1:17" ht="16.5" thickTop="1"/>
  </sheetData>
  <sheetProtection password="C85D" sheet="1"/>
  <mergeCells count="10">
    <mergeCell ref="G48:G59"/>
    <mergeCell ref="M48:M59"/>
    <mergeCell ref="G60:G71"/>
    <mergeCell ref="M60:M71"/>
    <mergeCell ref="G12:G23"/>
    <mergeCell ref="M12:M23"/>
    <mergeCell ref="G24:G35"/>
    <mergeCell ref="M24:M35"/>
    <mergeCell ref="G36:G47"/>
    <mergeCell ref="M36:M47"/>
  </mergeCells>
  <dataValidations count="2">
    <dataValidation type="decimal" allowBlank="1" showErrorMessage="1" sqref="B9">
      <formula1>0</formula1>
      <formula2>12</formula2>
    </dataValidation>
    <dataValidation allowBlank="1" showInputMessage="1" showErrorMessage="1" error="Solo valores enteros comprendidos entre 1 y 5" sqref="I6"/>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topLeftCell="G1" workbookViewId="0">
      <selection activeCell="I7" sqref="I7"/>
    </sheetView>
  </sheetViews>
  <sheetFormatPr baseColWidth="10" defaultColWidth="11.1640625" defaultRowHeight="15.75"/>
  <cols>
    <col min="1" max="1" width="24" style="9" customWidth="1"/>
    <col min="2" max="3" width="18.33203125" style="9" customWidth="1"/>
    <col min="4" max="4" width="20.1640625" style="9" bestFit="1" customWidth="1"/>
    <col min="5" max="5" width="21.83203125" style="9" customWidth="1"/>
    <col min="6" max="6" width="7" style="9" customWidth="1"/>
    <col min="7" max="7" width="3.83203125" style="9" customWidth="1"/>
    <col min="8" max="8" width="26.1640625" style="9" customWidth="1"/>
    <col min="9" max="9" width="18" style="9" customWidth="1"/>
    <col min="10" max="10" width="18.33203125" style="9" customWidth="1"/>
    <col min="11" max="11" width="20.83203125" style="9" customWidth="1"/>
    <col min="12" max="12" width="7" style="9" customWidth="1"/>
    <col min="13" max="13" width="3.83203125" style="9" customWidth="1"/>
    <col min="14" max="14" width="19.33203125" style="9" customWidth="1"/>
    <col min="15" max="16" width="18.33203125" style="9" customWidth="1"/>
    <col min="17" max="17" width="20.83203125" style="9" customWidth="1"/>
    <col min="18" max="18" width="21" style="9" customWidth="1"/>
    <col min="19" max="16384" width="11.1640625" style="9"/>
  </cols>
  <sheetData>
    <row r="1" spans="1:18" ht="39.950000000000003" customHeight="1" thickBot="1">
      <c r="A1" s="8" t="s">
        <v>123</v>
      </c>
      <c r="D1" s="96"/>
      <c r="E1" s="96"/>
      <c r="F1" s="96"/>
    </row>
    <row r="2" spans="1:18" ht="39.950000000000003" customHeight="1" thickTop="1" thickBot="1">
      <c r="A2" s="39"/>
      <c r="N2" s="17" t="s">
        <v>68</v>
      </c>
      <c r="O2" s="31" t="s">
        <v>14</v>
      </c>
      <c r="P2" s="31" t="s">
        <v>66</v>
      </c>
      <c r="Q2" s="33" t="s">
        <v>67</v>
      </c>
      <c r="R2" s="32" t="s">
        <v>15</v>
      </c>
    </row>
    <row r="3" spans="1:18" ht="20.100000000000001" customHeight="1" thickTop="1">
      <c r="A3" s="8" t="s">
        <v>371</v>
      </c>
      <c r="G3" s="39"/>
      <c r="N3" s="27">
        <v>2015</v>
      </c>
      <c r="O3" s="41">
        <f>SUM(O12:O23)</f>
        <v>0</v>
      </c>
      <c r="P3" s="41">
        <f>SUM(P12:P23)</f>
        <v>0</v>
      </c>
      <c r="Q3" s="41">
        <f>SUM(Q12:Q23)</f>
        <v>0</v>
      </c>
      <c r="R3" s="44">
        <f>IF($I$6=1,$B$5-Q3,0)</f>
        <v>0</v>
      </c>
    </row>
    <row r="4" spans="1:18" ht="20.100000000000001" customHeight="1" thickBot="1">
      <c r="N4" s="28">
        <v>2016</v>
      </c>
      <c r="O4" s="43">
        <f>SUM(O24:O35)</f>
        <v>0</v>
      </c>
      <c r="P4" s="43">
        <f>SUM(P24:P35)</f>
        <v>0</v>
      </c>
      <c r="Q4" s="43">
        <f>SUM(Q24:Q35)</f>
        <v>0</v>
      </c>
      <c r="R4" s="44">
        <f>IF($I$6=1,$B$5-(Q3+Q4),IF($I$6=2,$B$5-Q4,0))</f>
        <v>0</v>
      </c>
    </row>
    <row r="5" spans="1:18" ht="20.100000000000001" customHeight="1" thickTop="1" thickBot="1">
      <c r="A5" s="10" t="s">
        <v>54</v>
      </c>
      <c r="B5" s="124">
        <f>'(0) 3a. Préstam Particip.'!K17</f>
        <v>0</v>
      </c>
      <c r="C5" s="96"/>
      <c r="N5" s="28">
        <v>2017</v>
      </c>
      <c r="O5" s="43">
        <f>SUM(O36:O47)</f>
        <v>0</v>
      </c>
      <c r="P5" s="43">
        <f>SUM(P36:P47)</f>
        <v>0</v>
      </c>
      <c r="Q5" s="43">
        <f>SUM(Q36:Q47)</f>
        <v>0</v>
      </c>
      <c r="R5" s="44">
        <f>IF($I$6=1,$B$5-(Q3+Q4+Q5),IF($I$6=2,$B$5-(Q4+Q5),IF($I$6=3,$B$5-(Q5),0)))</f>
        <v>0</v>
      </c>
    </row>
    <row r="6" spans="1:18" ht="20.100000000000001" customHeight="1" thickBot="1">
      <c r="A6" s="11" t="s">
        <v>9</v>
      </c>
      <c r="B6" s="125">
        <f>'(0) 3a. Préstam Particip.'!K18</f>
        <v>0.05</v>
      </c>
      <c r="C6" s="96"/>
      <c r="D6" s="106"/>
      <c r="E6" s="12" t="s">
        <v>70</v>
      </c>
      <c r="F6" s="13"/>
      <c r="G6" s="14"/>
      <c r="H6" s="14"/>
      <c r="I6" s="129" t="str">
        <f>IF('(0) 3a. Préstam Particip.'!K17&gt;0,2,"")</f>
        <v/>
      </c>
      <c r="J6" s="15" t="s">
        <v>75</v>
      </c>
      <c r="N6" s="28">
        <v>2018</v>
      </c>
      <c r="O6" s="43">
        <f>SUM(O48:O59)</f>
        <v>0</v>
      </c>
      <c r="P6" s="43">
        <f>IF(SUM(P48:P59)&lt;&gt;0,SUM(P48:P59),0)</f>
        <v>0</v>
      </c>
      <c r="Q6" s="43">
        <f>SUM(Q48:Q59)</f>
        <v>0</v>
      </c>
      <c r="R6" s="44">
        <f>IF($I$6=1,$B$5-(Q3+Q4+Q5+Q6),IF($I$6=2,$B$5-(Q4+Q5+Q6),IF($I$6=3,$B$5-(Q5+Q6),IF($I$6=4,$B$5-Q6,0))))</f>
        <v>0</v>
      </c>
    </row>
    <row r="7" spans="1:18" ht="20.100000000000001" customHeight="1" thickBot="1">
      <c r="A7" s="11" t="s">
        <v>10</v>
      </c>
      <c r="B7" s="126">
        <f>'(0) 3a. Préstam Particip.'!K19</f>
        <v>4</v>
      </c>
      <c r="C7" s="96"/>
      <c r="N7" s="29">
        <v>2019</v>
      </c>
      <c r="O7" s="48">
        <f>SUM(O60:O71)</f>
        <v>0</v>
      </c>
      <c r="P7" s="48">
        <f>SUM(P60:P71)</f>
        <v>0</v>
      </c>
      <c r="Q7" s="48">
        <f>SUM(Q60:Q71)</f>
        <v>0</v>
      </c>
      <c r="R7" s="49">
        <f>IF($I$6=1,$B$5-(Q3+Q4+Q5+Q6+Q7),IF($I$6=2,$B$5-(Q4+Q5+Q6+Q7),IF($I$6=3,$B$5-(Q5+Q6+Q7),IF($I$6=4,$B$5-(Q6+Q7),IF($I$6=5,$B$5-Q7,0)))))</f>
        <v>0</v>
      </c>
    </row>
    <row r="8" spans="1:18" ht="20.100000000000001" customHeight="1" thickTop="1" thickBot="1">
      <c r="A8" s="11" t="s">
        <v>12</v>
      </c>
      <c r="B8" s="126">
        <f>'(0) 3a. Préstam Particip.'!K20</f>
        <v>4</v>
      </c>
      <c r="C8" s="96"/>
      <c r="N8" s="29">
        <v>2020</v>
      </c>
      <c r="O8" s="48">
        <f>SUM(O72:O83)</f>
        <v>0</v>
      </c>
      <c r="P8" s="48">
        <f>SUM(P72:P83)</f>
        <v>0</v>
      </c>
      <c r="Q8" s="48">
        <f>SUM(Q72:Q83)</f>
        <v>0</v>
      </c>
      <c r="R8" s="49">
        <f>IF($I$6=1,$B$5-(Q3+Q4+Q5+Q6+Q7+Q8),IF($I$6=2,$B$5-(Q4+Q5+Q6+Q7+Q8),IF($I$6=3,$B$5-(Q5+Q6+Q7+Q8),IF($I$6=4,$B$5-(Q6+Q7+Q8),IF($I$6=5,$B$5-(Q7+Q8),IF($I$6=6,$B$5-(Q8),0))))))</f>
        <v>0</v>
      </c>
    </row>
    <row r="9" spans="1:18" ht="20.100000000000001" customHeight="1" thickTop="1" thickBot="1">
      <c r="A9" s="16"/>
      <c r="B9" s="127"/>
      <c r="C9" s="96"/>
      <c r="D9" s="108" t="s">
        <v>82</v>
      </c>
      <c r="E9" s="231">
        <f>'(0) 3a. Préstam Particip.'!K22*0</f>
        <v>0</v>
      </c>
      <c r="H9" s="108" t="s">
        <v>97</v>
      </c>
      <c r="I9" s="128">
        <f>'(0) 3a. Préstam Particip.'!K21</f>
        <v>0</v>
      </c>
    </row>
    <row r="10" spans="1:18" ht="20.100000000000001" customHeight="1" thickTop="1" thickBot="1"/>
    <row r="11" spans="1:18" ht="33" customHeight="1" thickTop="1" thickBot="1">
      <c r="A11" s="17" t="s">
        <v>13</v>
      </c>
      <c r="B11" s="31" t="s">
        <v>14</v>
      </c>
      <c r="C11" s="18" t="s">
        <v>11</v>
      </c>
      <c r="D11" s="18" t="s">
        <v>6</v>
      </c>
      <c r="E11" s="19" t="s">
        <v>15</v>
      </c>
      <c r="F11" s="20"/>
      <c r="H11" s="17" t="s">
        <v>42</v>
      </c>
      <c r="I11" s="31" t="s">
        <v>14</v>
      </c>
      <c r="J11" s="31" t="s">
        <v>66</v>
      </c>
      <c r="K11" s="32" t="s">
        <v>67</v>
      </c>
      <c r="L11" s="20"/>
      <c r="M11" s="30"/>
      <c r="N11" s="17" t="s">
        <v>42</v>
      </c>
      <c r="O11" s="31" t="s">
        <v>14</v>
      </c>
      <c r="P11" s="31" t="s">
        <v>66</v>
      </c>
      <c r="Q11" s="32" t="s">
        <v>67</v>
      </c>
    </row>
    <row r="12" spans="1:18" ht="15.75" customHeight="1" thickTop="1">
      <c r="A12" s="21">
        <v>1</v>
      </c>
      <c r="B12" s="43">
        <f t="shared" ref="B12:B75" si="0">IF(A12&gt;$I$9,IF(E11&gt;1,PMT($B$6/$B$8,$B$7*$B$8,-$B$5),0),0)</f>
        <v>0</v>
      </c>
      <c r="C12" s="122">
        <f>IF(B12&gt;0,B12-D12,E12*($B$6/$B$8))+E9</f>
        <v>0</v>
      </c>
      <c r="D12" s="41">
        <f>IF(A12&gt;$I$9,B12-($B$5*($B$6/$B$8)),0)</f>
        <v>0</v>
      </c>
      <c r="E12" s="67">
        <f>$B$5-D12</f>
        <v>0</v>
      </c>
      <c r="G12" s="4194">
        <v>2015</v>
      </c>
      <c r="H12" s="34" t="s">
        <v>17</v>
      </c>
      <c r="I12" s="41">
        <f>$B$12</f>
        <v>0</v>
      </c>
      <c r="J12" s="41">
        <f>C12</f>
        <v>0</v>
      </c>
      <c r="K12" s="67">
        <f>D12</f>
        <v>0</v>
      </c>
      <c r="M12" s="4194">
        <v>2015</v>
      </c>
      <c r="N12" s="34" t="s">
        <v>17</v>
      </c>
      <c r="O12" s="41">
        <f t="shared" ref="O12:Q23" si="1">IF($I$6=1,I12,0)</f>
        <v>0</v>
      </c>
      <c r="P12" s="41">
        <f t="shared" si="1"/>
        <v>0</v>
      </c>
      <c r="Q12" s="42">
        <f t="shared" si="1"/>
        <v>0</v>
      </c>
    </row>
    <row r="13" spans="1:18" ht="15.75" customHeight="1">
      <c r="A13" s="23">
        <v>2</v>
      </c>
      <c r="B13" s="43">
        <f t="shared" si="0"/>
        <v>0</v>
      </c>
      <c r="C13" s="123">
        <f t="shared" ref="C13:C76" si="2">IF(B13&gt;0,B13-D13,E13*($B$6/$B$8))</f>
        <v>0</v>
      </c>
      <c r="D13" s="43">
        <f t="shared" ref="D13:D76" si="3">IF(A13&gt;$I$9,B13-(E12*($B$6/$B$8)),0)</f>
        <v>0</v>
      </c>
      <c r="E13" s="68">
        <f t="shared" ref="E13:E76" si="4">IF((E12-D13)&gt;0,E12-D13,0)</f>
        <v>0</v>
      </c>
      <c r="G13" s="4195"/>
      <c r="H13" s="9" t="s">
        <v>18</v>
      </c>
      <c r="I13" s="43">
        <f>IF($B$8=12,B13,0)</f>
        <v>0</v>
      </c>
      <c r="J13" s="43">
        <f>IF($B$8=12,C13,0)</f>
        <v>0</v>
      </c>
      <c r="K13" s="68">
        <f>IF($B$8=12,D13,0)</f>
        <v>0</v>
      </c>
      <c r="M13" s="4195"/>
      <c r="N13" s="9" t="s">
        <v>18</v>
      </c>
      <c r="O13" s="43">
        <f t="shared" si="1"/>
        <v>0</v>
      </c>
      <c r="P13" s="43">
        <f t="shared" si="1"/>
        <v>0</v>
      </c>
      <c r="Q13" s="44">
        <f t="shared" si="1"/>
        <v>0</v>
      </c>
    </row>
    <row r="14" spans="1:18" ht="15.75" customHeight="1">
      <c r="A14" s="23">
        <v>3</v>
      </c>
      <c r="B14" s="43">
        <f t="shared" si="0"/>
        <v>0</v>
      </c>
      <c r="C14" s="123">
        <f t="shared" si="2"/>
        <v>0</v>
      </c>
      <c r="D14" s="43">
        <f t="shared" si="3"/>
        <v>0</v>
      </c>
      <c r="E14" s="68">
        <f t="shared" si="4"/>
        <v>0</v>
      </c>
      <c r="G14" s="4195"/>
      <c r="H14" s="9" t="s">
        <v>19</v>
      </c>
      <c r="I14" s="43">
        <f>IF($B$8=12,B14,IF($B$8=6,B13,0))</f>
        <v>0</v>
      </c>
      <c r="J14" s="43">
        <f>IF($B$8=12,C14,IF($B$8=6,C13,0))</f>
        <v>0</v>
      </c>
      <c r="K14" s="68">
        <f>IF($B$8=12,D14,IF($B$8=6,D13,0))</f>
        <v>0</v>
      </c>
      <c r="M14" s="4195"/>
      <c r="N14" s="9" t="s">
        <v>19</v>
      </c>
      <c r="O14" s="43">
        <f t="shared" si="1"/>
        <v>0</v>
      </c>
      <c r="P14" s="43">
        <f t="shared" si="1"/>
        <v>0</v>
      </c>
      <c r="Q14" s="44">
        <f t="shared" si="1"/>
        <v>0</v>
      </c>
    </row>
    <row r="15" spans="1:18" ht="15.75" customHeight="1">
      <c r="A15" s="23">
        <v>4</v>
      </c>
      <c r="B15" s="43">
        <f t="shared" si="0"/>
        <v>0</v>
      </c>
      <c r="C15" s="123">
        <f t="shared" si="2"/>
        <v>0</v>
      </c>
      <c r="D15" s="43">
        <f t="shared" si="3"/>
        <v>0</v>
      </c>
      <c r="E15" s="68">
        <f t="shared" si="4"/>
        <v>0</v>
      </c>
      <c r="G15" s="4195"/>
      <c r="H15" s="9" t="s">
        <v>20</v>
      </c>
      <c r="I15" s="43">
        <f>IF($B$8=12,B15,IF($B$8=4,B13,IF($B$8=6,0,IF($B$8=3,0,0))))</f>
        <v>0</v>
      </c>
      <c r="J15" s="43">
        <f>IF($B$8=12,C15,IF($B$8=4,C13,IF($B$8=6,0,IF($B$8=3,0,0))))</f>
        <v>0</v>
      </c>
      <c r="K15" s="68">
        <f>IF($B$8=12,D15,IF($B$8=4,D13,IF($B$8=6,0,IF($B$8=3,0,0))))</f>
        <v>0</v>
      </c>
      <c r="M15" s="4195"/>
      <c r="N15" s="9" t="s">
        <v>20</v>
      </c>
      <c r="O15" s="43">
        <f t="shared" si="1"/>
        <v>0</v>
      </c>
      <c r="P15" s="43">
        <f t="shared" si="1"/>
        <v>0</v>
      </c>
      <c r="Q15" s="44">
        <f t="shared" si="1"/>
        <v>0</v>
      </c>
    </row>
    <row r="16" spans="1:18" ht="15.75" customHeight="1">
      <c r="A16" s="23">
        <v>5</v>
      </c>
      <c r="B16" s="43">
        <f t="shared" si="0"/>
        <v>0</v>
      </c>
      <c r="C16" s="123">
        <f t="shared" si="2"/>
        <v>0</v>
      </c>
      <c r="D16" s="43">
        <f t="shared" si="3"/>
        <v>0</v>
      </c>
      <c r="E16" s="68">
        <f t="shared" si="4"/>
        <v>0</v>
      </c>
      <c r="G16" s="4195"/>
      <c r="H16" s="9" t="s">
        <v>21</v>
      </c>
      <c r="I16" s="43">
        <f>IF($B$8=12,B16,IF($B$8=4,0,IF($B$8=6,B14,IF($B$8=3,B13,0))))</f>
        <v>0</v>
      </c>
      <c r="J16" s="43">
        <f>IF($B$8=12,C16,IF($B$8=4,0,IF($B$8=6,C14,IF($B$8=3,C13,0))))</f>
        <v>0</v>
      </c>
      <c r="K16" s="68">
        <f>IF($B$8=12,D16,IF($B$8=4,0,IF($B$8=6,D14,IF($B$8=3,D13,0))))</f>
        <v>0</v>
      </c>
      <c r="M16" s="4195"/>
      <c r="N16" s="9" t="s">
        <v>21</v>
      </c>
      <c r="O16" s="43">
        <f t="shared" si="1"/>
        <v>0</v>
      </c>
      <c r="P16" s="43">
        <f t="shared" si="1"/>
        <v>0</v>
      </c>
      <c r="Q16" s="44">
        <f t="shared" si="1"/>
        <v>0</v>
      </c>
    </row>
    <row r="17" spans="1:17" ht="15.75" customHeight="1">
      <c r="A17" s="23">
        <v>6</v>
      </c>
      <c r="B17" s="43">
        <f t="shared" si="0"/>
        <v>0</v>
      </c>
      <c r="C17" s="123">
        <f t="shared" si="2"/>
        <v>0</v>
      </c>
      <c r="D17" s="43">
        <f t="shared" si="3"/>
        <v>0</v>
      </c>
      <c r="E17" s="68">
        <f t="shared" si="4"/>
        <v>0</v>
      </c>
      <c r="G17" s="4195"/>
      <c r="H17" s="9" t="s">
        <v>22</v>
      </c>
      <c r="I17" s="43">
        <f>IF($B$8=12,B17,IF($B$8=4,0,IF($B$8=6,0,IF($B$8=3,0,0))))</f>
        <v>0</v>
      </c>
      <c r="J17" s="43">
        <f>IF($B$8=12,C17,IF($B$8=4,0,IF($B$8=6,0,IF($B$8=3,0,0))))</f>
        <v>0</v>
      </c>
      <c r="K17" s="68">
        <f>IF($B$8=12,D17,IF($B$8=4,0,IF($B$8=6,0,IF($B$8=3,0,0))))</f>
        <v>0</v>
      </c>
      <c r="M17" s="4195"/>
      <c r="N17" s="9" t="s">
        <v>22</v>
      </c>
      <c r="O17" s="43">
        <f t="shared" si="1"/>
        <v>0</v>
      </c>
      <c r="P17" s="43">
        <f t="shared" si="1"/>
        <v>0</v>
      </c>
      <c r="Q17" s="44">
        <f t="shared" si="1"/>
        <v>0</v>
      </c>
    </row>
    <row r="18" spans="1:17" ht="15.75" customHeight="1">
      <c r="A18" s="23">
        <v>7</v>
      </c>
      <c r="B18" s="43">
        <f t="shared" si="0"/>
        <v>0</v>
      </c>
      <c r="C18" s="123">
        <f t="shared" si="2"/>
        <v>0</v>
      </c>
      <c r="D18" s="43">
        <f t="shared" si="3"/>
        <v>0</v>
      </c>
      <c r="E18" s="68">
        <f t="shared" si="4"/>
        <v>0</v>
      </c>
      <c r="G18" s="4195"/>
      <c r="H18" s="9" t="s">
        <v>23</v>
      </c>
      <c r="I18" s="43">
        <f>IF($B$8=12,B18,IF($B$8=4,B14,IF($B$8=6,B15,IF($B$8=3,0,IF($B$8=2,B13,0)))))</f>
        <v>0</v>
      </c>
      <c r="J18" s="43">
        <f>IF($B$8=12,C18,IF($B$8=4,C14,IF($B$8=6,C15,IF($B$8=3,0,IF($B$8=2,C13,0)))))</f>
        <v>0</v>
      </c>
      <c r="K18" s="68">
        <f>IF($B$8=12,D18,IF($B$8=4,D14,IF($B$8=6,D15,IF($B$8=3,0,IF($B$8=2,D13,0)))))</f>
        <v>0</v>
      </c>
      <c r="M18" s="4195"/>
      <c r="N18" s="9" t="s">
        <v>23</v>
      </c>
      <c r="O18" s="43">
        <f t="shared" si="1"/>
        <v>0</v>
      </c>
      <c r="P18" s="43">
        <f t="shared" si="1"/>
        <v>0</v>
      </c>
      <c r="Q18" s="44">
        <f t="shared" si="1"/>
        <v>0</v>
      </c>
    </row>
    <row r="19" spans="1:17" ht="15.75" customHeight="1">
      <c r="A19" s="23">
        <v>8</v>
      </c>
      <c r="B19" s="43">
        <f t="shared" si="0"/>
        <v>0</v>
      </c>
      <c r="C19" s="123">
        <f t="shared" si="2"/>
        <v>0</v>
      </c>
      <c r="D19" s="43">
        <f t="shared" si="3"/>
        <v>0</v>
      </c>
      <c r="E19" s="68">
        <f t="shared" si="4"/>
        <v>0</v>
      </c>
      <c r="G19" s="4195"/>
      <c r="H19" s="9" t="s">
        <v>24</v>
      </c>
      <c r="I19" s="43">
        <f>IF($B$8=12,B19,IF($B$8=4,0,IF($B$8=6,0,IF($B$8=3,0,0))))</f>
        <v>0</v>
      </c>
      <c r="J19" s="43">
        <f>IF($B$8=12,C19,IF($B$8=4,0,IF($B$8=6,0,IF($B$8=3,0,0))))</f>
        <v>0</v>
      </c>
      <c r="K19" s="68">
        <f>IF($B$8=12,D19,IF($B$8=4,0,IF($B$8=6,0,IF($B$8=3,0,0))))</f>
        <v>0</v>
      </c>
      <c r="M19" s="4195"/>
      <c r="N19" s="9" t="s">
        <v>24</v>
      </c>
      <c r="O19" s="43">
        <f t="shared" si="1"/>
        <v>0</v>
      </c>
      <c r="P19" s="43">
        <f t="shared" si="1"/>
        <v>0</v>
      </c>
      <c r="Q19" s="44">
        <f t="shared" si="1"/>
        <v>0</v>
      </c>
    </row>
    <row r="20" spans="1:17" ht="15.75" customHeight="1">
      <c r="A20" s="23">
        <v>9</v>
      </c>
      <c r="B20" s="43">
        <f t="shared" si="0"/>
        <v>0</v>
      </c>
      <c r="C20" s="123">
        <f t="shared" si="2"/>
        <v>0</v>
      </c>
      <c r="D20" s="43">
        <f t="shared" si="3"/>
        <v>0</v>
      </c>
      <c r="E20" s="68">
        <f t="shared" si="4"/>
        <v>0</v>
      </c>
      <c r="G20" s="4195"/>
      <c r="H20" s="9" t="s">
        <v>25</v>
      </c>
      <c r="I20" s="43">
        <f>IF($B$8=12,B20,IF($B$8=4,0,IF($B$8=6,B16,IF($B$8=3,B14,0))))</f>
        <v>0</v>
      </c>
      <c r="J20" s="43">
        <f>IF($B$8=12,C20,IF($B$8=4,0,IF($B$8=6,C16,IF($B$8=3,C14,0))))</f>
        <v>0</v>
      </c>
      <c r="K20" s="68">
        <f>IF($B$8=12,D20,IF($B$8=4,0,IF($B$8=6,D16,IF($B$8=3,D14,0))))</f>
        <v>0</v>
      </c>
      <c r="M20" s="4195"/>
      <c r="N20" s="9" t="s">
        <v>25</v>
      </c>
      <c r="O20" s="43">
        <f t="shared" si="1"/>
        <v>0</v>
      </c>
      <c r="P20" s="43">
        <f t="shared" si="1"/>
        <v>0</v>
      </c>
      <c r="Q20" s="44">
        <f t="shared" si="1"/>
        <v>0</v>
      </c>
    </row>
    <row r="21" spans="1:17" ht="15.75" customHeight="1">
      <c r="A21" s="23">
        <v>10</v>
      </c>
      <c r="B21" s="43">
        <f t="shared" si="0"/>
        <v>0</v>
      </c>
      <c r="C21" s="123">
        <f t="shared" si="2"/>
        <v>0</v>
      </c>
      <c r="D21" s="43">
        <f t="shared" si="3"/>
        <v>0</v>
      </c>
      <c r="E21" s="68">
        <f t="shared" si="4"/>
        <v>0</v>
      </c>
      <c r="G21" s="4195"/>
      <c r="H21" s="9" t="s">
        <v>26</v>
      </c>
      <c r="I21" s="43">
        <f>IF($B$8=12,B21,IF($B$8=4,B15,IF($B$8=6,0,IF($B$8=3,0,0))))</f>
        <v>0</v>
      </c>
      <c r="J21" s="43">
        <f>IF($B$8=12,C21,IF($B$8=4,C15,IF($B$8=6,0,IF($B$8=3,0,0))))</f>
        <v>0</v>
      </c>
      <c r="K21" s="68">
        <f>IF($B$8=12,D21,IF($B$8=4,D15,IF($B$8=6,0,IF($B$8=3,0,0))))</f>
        <v>0</v>
      </c>
      <c r="M21" s="4195"/>
      <c r="N21" s="9" t="s">
        <v>26</v>
      </c>
      <c r="O21" s="43">
        <f t="shared" si="1"/>
        <v>0</v>
      </c>
      <c r="P21" s="43">
        <f t="shared" si="1"/>
        <v>0</v>
      </c>
      <c r="Q21" s="44">
        <f t="shared" si="1"/>
        <v>0</v>
      </c>
    </row>
    <row r="22" spans="1:17" ht="15.75" customHeight="1">
      <c r="A22" s="23">
        <v>11</v>
      </c>
      <c r="B22" s="43">
        <f t="shared" si="0"/>
        <v>0</v>
      </c>
      <c r="C22" s="123">
        <f t="shared" si="2"/>
        <v>0</v>
      </c>
      <c r="D22" s="43">
        <f t="shared" si="3"/>
        <v>0</v>
      </c>
      <c r="E22" s="68">
        <f t="shared" si="4"/>
        <v>0</v>
      </c>
      <c r="G22" s="4195"/>
      <c r="H22" s="9" t="s">
        <v>27</v>
      </c>
      <c r="I22" s="43">
        <f>IF($B$8=12,B22,IF($B$8=4,0,IF($B$8=6,B17,IF($B$8=3,0,0))))</f>
        <v>0</v>
      </c>
      <c r="J22" s="43">
        <f>IF($B$8=12,C22,IF($B$8=4,0,IF($B$8=6,C17,IF($B$8=3,0,0))))</f>
        <v>0</v>
      </c>
      <c r="K22" s="68">
        <f>IF($B$8=12,D22,IF($B$8=4,0,IF($B$8=6,D17,IF($B$8=3,0,0))))</f>
        <v>0</v>
      </c>
      <c r="M22" s="4195"/>
      <c r="N22" s="9" t="s">
        <v>27</v>
      </c>
      <c r="O22" s="43">
        <f t="shared" si="1"/>
        <v>0</v>
      </c>
      <c r="P22" s="43">
        <f t="shared" si="1"/>
        <v>0</v>
      </c>
      <c r="Q22" s="44">
        <f t="shared" si="1"/>
        <v>0</v>
      </c>
    </row>
    <row r="23" spans="1:17" ht="15.75" customHeight="1" thickBot="1">
      <c r="A23" s="24">
        <v>12</v>
      </c>
      <c r="B23" s="70">
        <f t="shared" si="0"/>
        <v>0</v>
      </c>
      <c r="C23" s="139">
        <f t="shared" si="2"/>
        <v>0</v>
      </c>
      <c r="D23" s="70">
        <f t="shared" si="3"/>
        <v>0</v>
      </c>
      <c r="E23" s="75">
        <f t="shared" si="4"/>
        <v>0</v>
      </c>
      <c r="G23" s="4196"/>
      <c r="H23" s="37" t="s">
        <v>28</v>
      </c>
      <c r="I23" s="70">
        <f>IF($B$8=12,B23,IF($B$8=4,0,IF($B$8=6,0,IF($B$8=3,0,0))))</f>
        <v>0</v>
      </c>
      <c r="J23" s="70">
        <f>IF($B$8=12,C23,IF($B$8=4,0,IF($B$8=6,0,IF($B$8=3,0,0))))</f>
        <v>0</v>
      </c>
      <c r="K23" s="72">
        <f>IF($B$8=12,D23,IF($B$8=4,0,IF($B$8=6,0,IF($B$8=3,0,0))))</f>
        <v>0</v>
      </c>
      <c r="M23" s="4196"/>
      <c r="N23" s="35" t="s">
        <v>28</v>
      </c>
      <c r="O23" s="45">
        <f t="shared" si="1"/>
        <v>0</v>
      </c>
      <c r="P23" s="45">
        <f t="shared" si="1"/>
        <v>0</v>
      </c>
      <c r="Q23" s="46">
        <f t="shared" si="1"/>
        <v>0</v>
      </c>
    </row>
    <row r="24" spans="1:17" ht="15.75" customHeight="1">
      <c r="A24" s="23">
        <v>13</v>
      </c>
      <c r="B24" s="43">
        <f t="shared" si="0"/>
        <v>0</v>
      </c>
      <c r="C24" s="123">
        <f t="shared" si="2"/>
        <v>0</v>
      </c>
      <c r="D24" s="43">
        <f t="shared" si="3"/>
        <v>0</v>
      </c>
      <c r="E24" s="68">
        <f t="shared" si="4"/>
        <v>0</v>
      </c>
      <c r="G24" s="4197">
        <v>2016</v>
      </c>
      <c r="H24" s="22" t="s">
        <v>17</v>
      </c>
      <c r="I24" s="43">
        <f>IF($B$8=12,B24,IF($B$8=4,B16,IF($B$8=6,B18,IF($B$8=3,B15,IF($B$8=2,B14,IF($B$8,B13,0))))))</f>
        <v>0</v>
      </c>
      <c r="J24" s="43">
        <f>IF($B$8=12,C24,IF($B$8=4,C16,IF($B$8=6,C18,IF($B$8=3,C15,IF($B$8=2,C14,IF($B$8,C13,0))))))</f>
        <v>0</v>
      </c>
      <c r="K24" s="68">
        <f>IF($B$8=12,D24,IF($B$8=4,D16,IF($B$8=6,D18,IF($B$8=3,D15,IF($B$8=2,D14,IF($B$8,D13,0))))))</f>
        <v>0</v>
      </c>
      <c r="M24" s="4194">
        <v>2016</v>
      </c>
      <c r="N24" s="9" t="s">
        <v>17</v>
      </c>
      <c r="O24" s="43">
        <f t="shared" ref="O24:Q35" si="5">IF($I$6=2,I12,IF($I$6=1,I24,0))</f>
        <v>0</v>
      </c>
      <c r="P24" s="43">
        <f t="shared" si="5"/>
        <v>0</v>
      </c>
      <c r="Q24" s="44">
        <f t="shared" si="5"/>
        <v>0</v>
      </c>
    </row>
    <row r="25" spans="1:17" ht="15.75" customHeight="1">
      <c r="A25" s="23">
        <v>14</v>
      </c>
      <c r="B25" s="43">
        <f t="shared" si="0"/>
        <v>0</v>
      </c>
      <c r="C25" s="123">
        <f t="shared" si="2"/>
        <v>0</v>
      </c>
      <c r="D25" s="43">
        <f t="shared" si="3"/>
        <v>0</v>
      </c>
      <c r="E25" s="68">
        <f t="shared" si="4"/>
        <v>0</v>
      </c>
      <c r="G25" s="4198"/>
      <c r="H25" s="22" t="s">
        <v>18</v>
      </c>
      <c r="I25" s="43">
        <f>IF($B$8=12,B25,0)</f>
        <v>0</v>
      </c>
      <c r="J25" s="43">
        <f>IF($B$8=12,C25,0)</f>
        <v>0</v>
      </c>
      <c r="K25" s="68">
        <f>IF($B$8=12,D25,0)</f>
        <v>0</v>
      </c>
      <c r="M25" s="4195"/>
      <c r="N25" s="9" t="s">
        <v>18</v>
      </c>
      <c r="O25" s="43">
        <f t="shared" si="5"/>
        <v>0</v>
      </c>
      <c r="P25" s="43">
        <f t="shared" si="5"/>
        <v>0</v>
      </c>
      <c r="Q25" s="44">
        <f t="shared" si="5"/>
        <v>0</v>
      </c>
    </row>
    <row r="26" spans="1:17" ht="15.75" customHeight="1">
      <c r="A26" s="23">
        <v>15</v>
      </c>
      <c r="B26" s="43">
        <f t="shared" si="0"/>
        <v>0</v>
      </c>
      <c r="C26" s="123">
        <f t="shared" si="2"/>
        <v>0</v>
      </c>
      <c r="D26" s="43">
        <f t="shared" si="3"/>
        <v>0</v>
      </c>
      <c r="E26" s="68">
        <f t="shared" si="4"/>
        <v>0</v>
      </c>
      <c r="G26" s="4198"/>
      <c r="H26" s="22" t="s">
        <v>19</v>
      </c>
      <c r="I26" s="43">
        <f>IF($B$8=12,B26,IF($B$8=6,B19,0))</f>
        <v>0</v>
      </c>
      <c r="J26" s="43">
        <f>IF($B$8=12,C26,IF($B$8=6,C19,0))</f>
        <v>0</v>
      </c>
      <c r="K26" s="68">
        <f>IF($B$8=12,D26,IF($B$8=6,D19,0))</f>
        <v>0</v>
      </c>
      <c r="M26" s="4195"/>
      <c r="N26" s="9" t="s">
        <v>19</v>
      </c>
      <c r="O26" s="43">
        <f t="shared" si="5"/>
        <v>0</v>
      </c>
      <c r="P26" s="43">
        <f t="shared" si="5"/>
        <v>0</v>
      </c>
      <c r="Q26" s="44">
        <f t="shared" si="5"/>
        <v>0</v>
      </c>
    </row>
    <row r="27" spans="1:17" ht="15.75" customHeight="1">
      <c r="A27" s="23">
        <v>16</v>
      </c>
      <c r="B27" s="43">
        <f t="shared" si="0"/>
        <v>0</v>
      </c>
      <c r="C27" s="123">
        <f t="shared" si="2"/>
        <v>0</v>
      </c>
      <c r="D27" s="43">
        <f t="shared" si="3"/>
        <v>0</v>
      </c>
      <c r="E27" s="68">
        <f t="shared" si="4"/>
        <v>0</v>
      </c>
      <c r="G27" s="4198"/>
      <c r="H27" s="22" t="s">
        <v>20</v>
      </c>
      <c r="I27" s="43">
        <f>IF($B$8=12,B27,IF($B$8=4,B17,IF($B$8=6,0,IF($B$8=3,0,0))))</f>
        <v>0</v>
      </c>
      <c r="J27" s="43">
        <f>IF($B$8=12,C27,IF($B$8=4,C17,IF($B$8=6,0,IF($B$8=3,0,0))))</f>
        <v>0</v>
      </c>
      <c r="K27" s="68">
        <f>IF($B$8=12,D27,IF($B$8=4,D17,IF($B$8=6,0,IF($B$8=3,0,0))))</f>
        <v>0</v>
      </c>
      <c r="M27" s="4195"/>
      <c r="N27" s="9" t="s">
        <v>20</v>
      </c>
      <c r="O27" s="43">
        <f t="shared" si="5"/>
        <v>0</v>
      </c>
      <c r="P27" s="43">
        <f t="shared" si="5"/>
        <v>0</v>
      </c>
      <c r="Q27" s="44">
        <f t="shared" si="5"/>
        <v>0</v>
      </c>
    </row>
    <row r="28" spans="1:17" ht="15.75" customHeight="1">
      <c r="A28" s="23">
        <v>17</v>
      </c>
      <c r="B28" s="43">
        <f t="shared" si="0"/>
        <v>0</v>
      </c>
      <c r="C28" s="123">
        <f t="shared" si="2"/>
        <v>0</v>
      </c>
      <c r="D28" s="43">
        <f t="shared" si="3"/>
        <v>0</v>
      </c>
      <c r="E28" s="68">
        <f t="shared" si="4"/>
        <v>0</v>
      </c>
      <c r="G28" s="4198"/>
      <c r="H28" s="22" t="s">
        <v>21</v>
      </c>
      <c r="I28" s="43">
        <f>IF($B$8=12,B28,IF($B$8=4,0,IF($B$8=6,B20,IF($B$8=3,B16,0))))</f>
        <v>0</v>
      </c>
      <c r="J28" s="43">
        <f>IF($B$8=12,C28,IF($B$8=4,0,IF($B$8=6,C20,IF($B$8=3,C16,0))))</f>
        <v>0</v>
      </c>
      <c r="K28" s="68">
        <f>IF($B$8=12,D28,IF($B$8=4,0,IF($B$8=6,D20,IF($B$8=3,D16,0))))</f>
        <v>0</v>
      </c>
      <c r="M28" s="4195"/>
      <c r="N28" s="9" t="s">
        <v>21</v>
      </c>
      <c r="O28" s="43">
        <f t="shared" si="5"/>
        <v>0</v>
      </c>
      <c r="P28" s="43">
        <f t="shared" si="5"/>
        <v>0</v>
      </c>
      <c r="Q28" s="44">
        <f t="shared" si="5"/>
        <v>0</v>
      </c>
    </row>
    <row r="29" spans="1:17" ht="15.75" customHeight="1">
      <c r="A29" s="23">
        <v>18</v>
      </c>
      <c r="B29" s="43">
        <f t="shared" si="0"/>
        <v>0</v>
      </c>
      <c r="C29" s="123">
        <f t="shared" si="2"/>
        <v>0</v>
      </c>
      <c r="D29" s="43">
        <f t="shared" si="3"/>
        <v>0</v>
      </c>
      <c r="E29" s="68">
        <f t="shared" si="4"/>
        <v>0</v>
      </c>
      <c r="G29" s="4198"/>
      <c r="H29" s="22" t="s">
        <v>22</v>
      </c>
      <c r="I29" s="43">
        <f>IF($B$8=12,B29,IF($B$8=4,0,IF($B$8=6,0,IF($B$8=3,0,0))))</f>
        <v>0</v>
      </c>
      <c r="J29" s="43">
        <f>IF($B$8=12,C29,IF($B$8=4,0,IF($B$8=6,0,IF($B$8=3,0,0))))</f>
        <v>0</v>
      </c>
      <c r="K29" s="68">
        <f>IF($B$8=12,D29,IF($B$8=4,0,IF($B$8=6,0,IF($B$8=3,0,0))))</f>
        <v>0</v>
      </c>
      <c r="M29" s="4195"/>
      <c r="N29" s="9" t="s">
        <v>22</v>
      </c>
      <c r="O29" s="43">
        <f t="shared" si="5"/>
        <v>0</v>
      </c>
      <c r="P29" s="43">
        <f t="shared" si="5"/>
        <v>0</v>
      </c>
      <c r="Q29" s="44">
        <f t="shared" si="5"/>
        <v>0</v>
      </c>
    </row>
    <row r="30" spans="1:17" ht="15.75" customHeight="1">
      <c r="A30" s="23">
        <v>19</v>
      </c>
      <c r="B30" s="43">
        <f t="shared" si="0"/>
        <v>0</v>
      </c>
      <c r="C30" s="123">
        <f t="shared" si="2"/>
        <v>0</v>
      </c>
      <c r="D30" s="43">
        <f t="shared" si="3"/>
        <v>0</v>
      </c>
      <c r="E30" s="68">
        <f t="shared" si="4"/>
        <v>0</v>
      </c>
      <c r="G30" s="4198"/>
      <c r="H30" s="22" t="s">
        <v>23</v>
      </c>
      <c r="I30" s="43">
        <f>IF($B$8=12,B30,IF($B$8=4,B18,IF($B$8=6,B21,IF($B$8=3,0,IF($B$8=2,B15,0)))))</f>
        <v>0</v>
      </c>
      <c r="J30" s="43">
        <f>IF($B$8=12,C30,IF($B$8=4,C18,IF($B$8=6,C21,IF($B$8=3,0,IF($B$8=2,C15,0)))))</f>
        <v>0</v>
      </c>
      <c r="K30" s="68">
        <f>IF($B$8=12,D30,IF($B$8=4,D18,IF($B$8=6,D21,IF($B$8=3,0,IF($B$8=2,D15,0)))))</f>
        <v>0</v>
      </c>
      <c r="M30" s="4195"/>
      <c r="N30" s="9" t="s">
        <v>23</v>
      </c>
      <c r="O30" s="43">
        <f t="shared" si="5"/>
        <v>0</v>
      </c>
      <c r="P30" s="43">
        <f t="shared" si="5"/>
        <v>0</v>
      </c>
      <c r="Q30" s="44">
        <f t="shared" si="5"/>
        <v>0</v>
      </c>
    </row>
    <row r="31" spans="1:17" ht="15.75" customHeight="1">
      <c r="A31" s="23">
        <v>20</v>
      </c>
      <c r="B31" s="43">
        <f t="shared" si="0"/>
        <v>0</v>
      </c>
      <c r="C31" s="123">
        <f t="shared" si="2"/>
        <v>0</v>
      </c>
      <c r="D31" s="43">
        <f t="shared" si="3"/>
        <v>0</v>
      </c>
      <c r="E31" s="68">
        <f t="shared" si="4"/>
        <v>0</v>
      </c>
      <c r="G31" s="4198"/>
      <c r="H31" s="22" t="s">
        <v>24</v>
      </c>
      <c r="I31" s="43">
        <f>IF($B$8=12,B31,IF($B$8=4,0,IF($B$8=6,0,IF($B$8=3,0,0))))</f>
        <v>0</v>
      </c>
      <c r="J31" s="43">
        <f>IF($B$8=12,C31,IF($B$8=4,0,IF($B$8=6,0,IF($B$8=3,0,0))))</f>
        <v>0</v>
      </c>
      <c r="K31" s="68">
        <f>IF($B$8=12,D31,IF($B$8=4,0,IF($B$8=6,0,IF($B$8=3,0,0))))</f>
        <v>0</v>
      </c>
      <c r="M31" s="4195"/>
      <c r="N31" s="9" t="s">
        <v>24</v>
      </c>
      <c r="O31" s="43">
        <f t="shared" si="5"/>
        <v>0</v>
      </c>
      <c r="P31" s="43">
        <f t="shared" si="5"/>
        <v>0</v>
      </c>
      <c r="Q31" s="44">
        <f t="shared" si="5"/>
        <v>0</v>
      </c>
    </row>
    <row r="32" spans="1:17" ht="15.75" customHeight="1">
      <c r="A32" s="23">
        <v>21</v>
      </c>
      <c r="B32" s="43">
        <f t="shared" si="0"/>
        <v>0</v>
      </c>
      <c r="C32" s="123">
        <f t="shared" si="2"/>
        <v>0</v>
      </c>
      <c r="D32" s="43">
        <f t="shared" si="3"/>
        <v>0</v>
      </c>
      <c r="E32" s="68">
        <f t="shared" si="4"/>
        <v>0</v>
      </c>
      <c r="G32" s="4198"/>
      <c r="H32" s="22" t="s">
        <v>25</v>
      </c>
      <c r="I32" s="43">
        <f>IF($B$8=12,B32,IF($B$8=4,0,IF($B$8=6,B22,IF($B$8=3,B17,0))))</f>
        <v>0</v>
      </c>
      <c r="J32" s="43">
        <f>IF($B$8=12,C32,IF($B$8=4,0,IF($B$8=6,C22,IF($B$8=3,C17,0))))</f>
        <v>0</v>
      </c>
      <c r="K32" s="68">
        <f>IF($B$8=12,D32,IF($B$8=4,0,IF($B$8=6,D22,IF($B$8=3,D17,0))))</f>
        <v>0</v>
      </c>
      <c r="M32" s="4195"/>
      <c r="N32" s="9" t="s">
        <v>25</v>
      </c>
      <c r="O32" s="43">
        <f t="shared" si="5"/>
        <v>0</v>
      </c>
      <c r="P32" s="43">
        <f t="shared" si="5"/>
        <v>0</v>
      </c>
      <c r="Q32" s="44">
        <f t="shared" si="5"/>
        <v>0</v>
      </c>
    </row>
    <row r="33" spans="1:17" ht="15.75" customHeight="1">
      <c r="A33" s="23">
        <v>22</v>
      </c>
      <c r="B33" s="43">
        <f t="shared" si="0"/>
        <v>0</v>
      </c>
      <c r="C33" s="123">
        <f t="shared" si="2"/>
        <v>0</v>
      </c>
      <c r="D33" s="43">
        <f t="shared" si="3"/>
        <v>0</v>
      </c>
      <c r="E33" s="68">
        <f t="shared" si="4"/>
        <v>0</v>
      </c>
      <c r="G33" s="4198"/>
      <c r="H33" s="22" t="s">
        <v>26</v>
      </c>
      <c r="I33" s="43">
        <f>IF($B$8=12,B33,IF($B$8=4,B19,IF($B$8=6,0,IF($B$8=3,0,0))))</f>
        <v>0</v>
      </c>
      <c r="J33" s="43">
        <f>IF($B$8=12,C33,IF($B$8=4,C19,IF($B$8=6,0,IF($B$8=3,0,0))))</f>
        <v>0</v>
      </c>
      <c r="K33" s="68">
        <f>IF($B$8=12,D33,IF($B$8=4,D19,IF($B$8=6,0,IF($B$8=3,0,0))))</f>
        <v>0</v>
      </c>
      <c r="M33" s="4195"/>
      <c r="N33" s="9" t="s">
        <v>26</v>
      </c>
      <c r="O33" s="43">
        <f t="shared" si="5"/>
        <v>0</v>
      </c>
      <c r="P33" s="43">
        <f t="shared" si="5"/>
        <v>0</v>
      </c>
      <c r="Q33" s="44">
        <f t="shared" si="5"/>
        <v>0</v>
      </c>
    </row>
    <row r="34" spans="1:17" ht="15.75" customHeight="1">
      <c r="A34" s="23">
        <v>23</v>
      </c>
      <c r="B34" s="43">
        <f t="shared" si="0"/>
        <v>0</v>
      </c>
      <c r="C34" s="123">
        <f t="shared" si="2"/>
        <v>0</v>
      </c>
      <c r="D34" s="43">
        <f t="shared" si="3"/>
        <v>0</v>
      </c>
      <c r="E34" s="68">
        <f t="shared" si="4"/>
        <v>0</v>
      </c>
      <c r="G34" s="4198"/>
      <c r="H34" s="22" t="s">
        <v>27</v>
      </c>
      <c r="I34" s="43">
        <f>IF($B$8=12,B34,IF($B$8=4,0,IF($B$8=6,B23,IF($B$8=3,0,0))))</f>
        <v>0</v>
      </c>
      <c r="J34" s="43">
        <f>IF($B$8=12,C34,IF($B$8=4,0,IF($B$8=6,C23,IF($B$8=3,0,0))))</f>
        <v>0</v>
      </c>
      <c r="K34" s="68">
        <f>IF($B$8=12,D34,IF($B$8=4,0,IF($B$8=6,D23,IF($B$8=3,0,0))))</f>
        <v>0</v>
      </c>
      <c r="M34" s="4195"/>
      <c r="N34" s="9" t="s">
        <v>27</v>
      </c>
      <c r="O34" s="43">
        <f t="shared" si="5"/>
        <v>0</v>
      </c>
      <c r="P34" s="43">
        <f t="shared" si="5"/>
        <v>0</v>
      </c>
      <c r="Q34" s="44">
        <f t="shared" si="5"/>
        <v>0</v>
      </c>
    </row>
    <row r="35" spans="1:17" ht="15.75" customHeight="1" thickBot="1">
      <c r="A35" s="24">
        <v>24</v>
      </c>
      <c r="B35" s="70">
        <f t="shared" si="0"/>
        <v>0</v>
      </c>
      <c r="C35" s="139">
        <f t="shared" si="2"/>
        <v>0</v>
      </c>
      <c r="D35" s="70">
        <f t="shared" si="3"/>
        <v>0</v>
      </c>
      <c r="E35" s="75">
        <f t="shared" si="4"/>
        <v>0</v>
      </c>
      <c r="G35" s="4199"/>
      <c r="H35" s="25" t="s">
        <v>28</v>
      </c>
      <c r="I35" s="70">
        <f>IF($B$8=12,B35,IF($B$8=4,0,IF($B$8=6,0,IF($B$8=3,0,0))))</f>
        <v>0</v>
      </c>
      <c r="J35" s="70">
        <f>IF($B$8=12,C35,IF($B$8=4,0,IF($B$8=6,0,IF($B$8=3,0,0))))</f>
        <v>0</v>
      </c>
      <c r="K35" s="72">
        <f>IF($B$8=12,D35,IF($B$8=4,0,IF($B$8=6,0,IF($B$8=3,0,0))))</f>
        <v>0</v>
      </c>
      <c r="M35" s="4196"/>
      <c r="N35" s="35" t="s">
        <v>28</v>
      </c>
      <c r="O35" s="43">
        <f t="shared" si="5"/>
        <v>0</v>
      </c>
      <c r="P35" s="43">
        <f t="shared" si="5"/>
        <v>0</v>
      </c>
      <c r="Q35" s="46">
        <f t="shared" si="5"/>
        <v>0</v>
      </c>
    </row>
    <row r="36" spans="1:17" ht="15.75" customHeight="1">
      <c r="A36" s="23">
        <v>25</v>
      </c>
      <c r="B36" s="43">
        <f t="shared" si="0"/>
        <v>0</v>
      </c>
      <c r="C36" s="123">
        <f t="shared" si="2"/>
        <v>0</v>
      </c>
      <c r="D36" s="43">
        <f t="shared" si="3"/>
        <v>0</v>
      </c>
      <c r="E36" s="68">
        <f t="shared" si="4"/>
        <v>0</v>
      </c>
      <c r="G36" s="4197">
        <v>2017</v>
      </c>
      <c r="H36" s="22" t="s">
        <v>17</v>
      </c>
      <c r="I36" s="43">
        <f>IF($B$8=12,B36,IF($B$8=4,B20,IF($B$8=6,B24,IF($B$8=3,B18,IF($B$8=2,B16,IF($B$8=1,B14,0))))))</f>
        <v>0</v>
      </c>
      <c r="J36" s="43">
        <f>IF($B$8=12,C36,IF($B$8=4,C20,IF($B$8=6,C24,IF($B$8=3,C18,IF($B$8=2,C16,IF($B$8=1,C14,0))))))</f>
        <v>0</v>
      </c>
      <c r="K36" s="68">
        <f>IF($B$8=12,D36,IF($B$8=4,D20,IF($B$8=6,D24,IF($B$8=3,D18,IF($B$8=2,D16,IF($B$8=1,D14,0))))))</f>
        <v>0</v>
      </c>
      <c r="M36" s="4194">
        <v>2017</v>
      </c>
      <c r="N36" s="9" t="s">
        <v>17</v>
      </c>
      <c r="O36" s="76">
        <f t="shared" ref="O36:Q47" si="6">IF($I$6=3,I12,IF($I$6=2,I24,IF($I$6=1,I36,0)))</f>
        <v>0</v>
      </c>
      <c r="P36" s="76">
        <f t="shared" si="6"/>
        <v>0</v>
      </c>
      <c r="Q36" s="77">
        <f t="shared" si="6"/>
        <v>0</v>
      </c>
    </row>
    <row r="37" spans="1:17" ht="15.75" customHeight="1">
      <c r="A37" s="23">
        <v>26</v>
      </c>
      <c r="B37" s="43">
        <f t="shared" si="0"/>
        <v>0</v>
      </c>
      <c r="C37" s="123">
        <f t="shared" si="2"/>
        <v>0</v>
      </c>
      <c r="D37" s="43">
        <f t="shared" si="3"/>
        <v>0</v>
      </c>
      <c r="E37" s="68">
        <f t="shared" si="4"/>
        <v>0</v>
      </c>
      <c r="G37" s="4198"/>
      <c r="H37" s="22" t="s">
        <v>18</v>
      </c>
      <c r="I37" s="43">
        <f>IF($B$8=12,B37,0)</f>
        <v>0</v>
      </c>
      <c r="J37" s="43">
        <f>IF($B$8=12,C37,0)</f>
        <v>0</v>
      </c>
      <c r="K37" s="68">
        <f>IF($B$8=12,D37,0)</f>
        <v>0</v>
      </c>
      <c r="M37" s="4195"/>
      <c r="N37" s="9" t="s">
        <v>18</v>
      </c>
      <c r="O37" s="43">
        <f t="shared" si="6"/>
        <v>0</v>
      </c>
      <c r="P37" s="43">
        <f t="shared" si="6"/>
        <v>0</v>
      </c>
      <c r="Q37" s="44">
        <f t="shared" si="6"/>
        <v>0</v>
      </c>
    </row>
    <row r="38" spans="1:17" ht="15.75" customHeight="1">
      <c r="A38" s="23">
        <v>27</v>
      </c>
      <c r="B38" s="43">
        <f t="shared" si="0"/>
        <v>0</v>
      </c>
      <c r="C38" s="123">
        <f t="shared" si="2"/>
        <v>0</v>
      </c>
      <c r="D38" s="43">
        <f t="shared" si="3"/>
        <v>0</v>
      </c>
      <c r="E38" s="68">
        <f t="shared" si="4"/>
        <v>0</v>
      </c>
      <c r="G38" s="4198"/>
      <c r="H38" s="22" t="s">
        <v>19</v>
      </c>
      <c r="I38" s="43">
        <f>IF($B$8=12,B38,IF($B$8=6,B25,0))</f>
        <v>0</v>
      </c>
      <c r="J38" s="43">
        <f>IF($B$8=12,C38,IF($B$8=6,C25,0))</f>
        <v>0</v>
      </c>
      <c r="K38" s="68">
        <f>IF($B$8=12,D38,IF($B$8=6,D25,0))</f>
        <v>0</v>
      </c>
      <c r="M38" s="4195"/>
      <c r="N38" s="9" t="s">
        <v>19</v>
      </c>
      <c r="O38" s="43">
        <f t="shared" si="6"/>
        <v>0</v>
      </c>
      <c r="P38" s="43">
        <f t="shared" si="6"/>
        <v>0</v>
      </c>
      <c r="Q38" s="44">
        <f t="shared" si="6"/>
        <v>0</v>
      </c>
    </row>
    <row r="39" spans="1:17" ht="15.75" customHeight="1">
      <c r="A39" s="23">
        <v>28</v>
      </c>
      <c r="B39" s="43">
        <f t="shared" si="0"/>
        <v>0</v>
      </c>
      <c r="C39" s="123">
        <f t="shared" si="2"/>
        <v>0</v>
      </c>
      <c r="D39" s="43">
        <f t="shared" si="3"/>
        <v>0</v>
      </c>
      <c r="E39" s="68">
        <f t="shared" si="4"/>
        <v>0</v>
      </c>
      <c r="G39" s="4198"/>
      <c r="H39" s="22" t="s">
        <v>20</v>
      </c>
      <c r="I39" s="43">
        <f>IF($B$8=12,B39,IF($B$8=4,B21,IF($B$8=6,0,IF($B$8=3,0,0))))</f>
        <v>0</v>
      </c>
      <c r="J39" s="43">
        <f>IF($B$8=12,C39,IF($B$8=4,C21,IF($B$8=6,0,IF($B$8=3,0,0))))</f>
        <v>0</v>
      </c>
      <c r="K39" s="68">
        <f>IF($B$8=12,D39,IF($B$8=4,D21,IF($B$8=6,0,IF($B$8=3,0,0))))</f>
        <v>0</v>
      </c>
      <c r="M39" s="4195"/>
      <c r="N39" s="9" t="s">
        <v>20</v>
      </c>
      <c r="O39" s="43">
        <f t="shared" si="6"/>
        <v>0</v>
      </c>
      <c r="P39" s="43">
        <f t="shared" si="6"/>
        <v>0</v>
      </c>
      <c r="Q39" s="44">
        <f t="shared" si="6"/>
        <v>0</v>
      </c>
    </row>
    <row r="40" spans="1:17" ht="15.75" customHeight="1">
      <c r="A40" s="23">
        <v>29</v>
      </c>
      <c r="B40" s="43">
        <f t="shared" si="0"/>
        <v>0</v>
      </c>
      <c r="C40" s="123">
        <f t="shared" si="2"/>
        <v>0</v>
      </c>
      <c r="D40" s="43">
        <f t="shared" si="3"/>
        <v>0</v>
      </c>
      <c r="E40" s="68">
        <f t="shared" si="4"/>
        <v>0</v>
      </c>
      <c r="G40" s="4198"/>
      <c r="H40" s="22" t="s">
        <v>21</v>
      </c>
      <c r="I40" s="43">
        <f>IF($B$8=12,B40,IF($B$8=4,0,IF($B$8=6,B26,IF($B$8=3,B19,0))))</f>
        <v>0</v>
      </c>
      <c r="J40" s="43">
        <f>IF($B$8=12,C40,IF($B$8=4,0,IF($B$8=6,C26,IF($B$8=3,C19,0))))</f>
        <v>0</v>
      </c>
      <c r="K40" s="68">
        <f>IF($B$8=12,D40,IF($B$8=4,0,IF($B$8=6,D26,IF($B$8=3,D19,0))))</f>
        <v>0</v>
      </c>
      <c r="M40" s="4195"/>
      <c r="N40" s="9" t="s">
        <v>21</v>
      </c>
      <c r="O40" s="43">
        <f t="shared" si="6"/>
        <v>0</v>
      </c>
      <c r="P40" s="43">
        <f t="shared" si="6"/>
        <v>0</v>
      </c>
      <c r="Q40" s="44">
        <f t="shared" si="6"/>
        <v>0</v>
      </c>
    </row>
    <row r="41" spans="1:17" ht="15.75" customHeight="1">
      <c r="A41" s="23">
        <v>30</v>
      </c>
      <c r="B41" s="43">
        <f t="shared" si="0"/>
        <v>0</v>
      </c>
      <c r="C41" s="123">
        <f t="shared" si="2"/>
        <v>0</v>
      </c>
      <c r="D41" s="43">
        <f t="shared" si="3"/>
        <v>0</v>
      </c>
      <c r="E41" s="68">
        <f t="shared" si="4"/>
        <v>0</v>
      </c>
      <c r="G41" s="4198"/>
      <c r="H41" s="22" t="s">
        <v>22</v>
      </c>
      <c r="I41" s="43">
        <f>IF($B$8=12,B41,IF($B$8=4,0,IF($B$8=6,0,IF($B$8=3,0,0))))</f>
        <v>0</v>
      </c>
      <c r="J41" s="43">
        <f>IF($B$8=12,C41,IF($B$8=4,0,IF($B$8=6,0,IF($B$8=3,0,0))))</f>
        <v>0</v>
      </c>
      <c r="K41" s="68">
        <f>IF($B$8=12,D41,IF($B$8=4,0,IF($B$8=6,0,IF($B$8=3,0,0))))</f>
        <v>0</v>
      </c>
      <c r="M41" s="4195"/>
      <c r="N41" s="9" t="s">
        <v>22</v>
      </c>
      <c r="O41" s="43">
        <f t="shared" si="6"/>
        <v>0</v>
      </c>
      <c r="P41" s="43">
        <f t="shared" si="6"/>
        <v>0</v>
      </c>
      <c r="Q41" s="44">
        <f t="shared" si="6"/>
        <v>0</v>
      </c>
    </row>
    <row r="42" spans="1:17" ht="15.75" customHeight="1">
      <c r="A42" s="23">
        <v>31</v>
      </c>
      <c r="B42" s="43">
        <f t="shared" si="0"/>
        <v>0</v>
      </c>
      <c r="C42" s="123">
        <f t="shared" si="2"/>
        <v>0</v>
      </c>
      <c r="D42" s="43">
        <f t="shared" si="3"/>
        <v>0</v>
      </c>
      <c r="E42" s="68">
        <f t="shared" si="4"/>
        <v>0</v>
      </c>
      <c r="G42" s="4198"/>
      <c r="H42" s="22" t="s">
        <v>23</v>
      </c>
      <c r="I42" s="43">
        <f>IF($B$8=12,B42,IF($B$8=4,B22,IF($B$8=6,B27,IF($B$8=3,0,IF($B$8=2,B17,0)))))</f>
        <v>0</v>
      </c>
      <c r="J42" s="43">
        <f>IF($B$8=12,C42,IF($B$8=4,C22,IF($B$8=6,C27,IF($B$8=3,0,IF($B$8=2,C17,0)))))</f>
        <v>0</v>
      </c>
      <c r="K42" s="68">
        <f>IF($B$8=12,D42,IF($B$8=4,D22,IF($B$8=6,D27,IF($B$8=3,0,IF($B$8=2,D17,0)))))</f>
        <v>0</v>
      </c>
      <c r="M42" s="4195"/>
      <c r="N42" s="9" t="s">
        <v>23</v>
      </c>
      <c r="O42" s="43">
        <f t="shared" si="6"/>
        <v>0</v>
      </c>
      <c r="P42" s="43">
        <f t="shared" si="6"/>
        <v>0</v>
      </c>
      <c r="Q42" s="44">
        <f t="shared" si="6"/>
        <v>0</v>
      </c>
    </row>
    <row r="43" spans="1:17" ht="15.75" customHeight="1">
      <c r="A43" s="23">
        <v>32</v>
      </c>
      <c r="B43" s="43">
        <f t="shared" si="0"/>
        <v>0</v>
      </c>
      <c r="C43" s="123">
        <f t="shared" si="2"/>
        <v>0</v>
      </c>
      <c r="D43" s="43">
        <f t="shared" si="3"/>
        <v>0</v>
      </c>
      <c r="E43" s="68">
        <f t="shared" si="4"/>
        <v>0</v>
      </c>
      <c r="G43" s="4198"/>
      <c r="H43" s="22" t="s">
        <v>24</v>
      </c>
      <c r="I43" s="43">
        <f>IF($B$8=12,B43,IF($B$8=4,0,IF($B$8=6,0,IF($B$8=3,0,0))))</f>
        <v>0</v>
      </c>
      <c r="J43" s="43">
        <f>IF($B$8=12,C43,IF($B$8=4,0,IF($B$8=6,0,IF($B$8=3,0,0))))</f>
        <v>0</v>
      </c>
      <c r="K43" s="68">
        <f>IF($B$8=12,D43,IF($B$8=4,0,IF($B$8=6,0,IF($B$8=3,0,0))))</f>
        <v>0</v>
      </c>
      <c r="M43" s="4195"/>
      <c r="N43" s="9" t="s">
        <v>24</v>
      </c>
      <c r="O43" s="43">
        <f t="shared" si="6"/>
        <v>0</v>
      </c>
      <c r="P43" s="43">
        <f t="shared" si="6"/>
        <v>0</v>
      </c>
      <c r="Q43" s="44">
        <f t="shared" si="6"/>
        <v>0</v>
      </c>
    </row>
    <row r="44" spans="1:17" ht="15.75" customHeight="1">
      <c r="A44" s="23">
        <v>33</v>
      </c>
      <c r="B44" s="43">
        <f t="shared" si="0"/>
        <v>0</v>
      </c>
      <c r="C44" s="123">
        <f t="shared" si="2"/>
        <v>0</v>
      </c>
      <c r="D44" s="43">
        <f t="shared" si="3"/>
        <v>0</v>
      </c>
      <c r="E44" s="68">
        <f t="shared" si="4"/>
        <v>0</v>
      </c>
      <c r="G44" s="4198"/>
      <c r="H44" s="22" t="s">
        <v>25</v>
      </c>
      <c r="I44" s="43">
        <f>IF($B$8=12,B44,IF($B$8=4,0,IF($B$8=6,B28,IF($B$8=3,B20,0))))</f>
        <v>0</v>
      </c>
      <c r="J44" s="43">
        <f>IF($B$8=12,C44,IF($B$8=4,0,IF($B$8=6,C28,IF($B$8=3,C20,0))))</f>
        <v>0</v>
      </c>
      <c r="K44" s="68">
        <f>IF($B$8=12,D44,IF($B$8=4,0,IF($B$8=6,D28,IF($B$8=3,D20,0))))</f>
        <v>0</v>
      </c>
      <c r="M44" s="4195"/>
      <c r="N44" s="9" t="s">
        <v>25</v>
      </c>
      <c r="O44" s="43">
        <f t="shared" si="6"/>
        <v>0</v>
      </c>
      <c r="P44" s="43">
        <f t="shared" si="6"/>
        <v>0</v>
      </c>
      <c r="Q44" s="44">
        <f t="shared" si="6"/>
        <v>0</v>
      </c>
    </row>
    <row r="45" spans="1:17" ht="15.75" customHeight="1">
      <c r="A45" s="23">
        <v>34</v>
      </c>
      <c r="B45" s="43">
        <f t="shared" si="0"/>
        <v>0</v>
      </c>
      <c r="C45" s="123">
        <f t="shared" si="2"/>
        <v>0</v>
      </c>
      <c r="D45" s="43">
        <f t="shared" si="3"/>
        <v>0</v>
      </c>
      <c r="E45" s="68">
        <f t="shared" si="4"/>
        <v>0</v>
      </c>
      <c r="G45" s="4198"/>
      <c r="H45" s="22" t="s">
        <v>26</v>
      </c>
      <c r="I45" s="43">
        <f>IF($B$8=12,B45,IF($B$8=4,B23,IF($B$8=6,0,IF($B$8=3,0,0))))</f>
        <v>0</v>
      </c>
      <c r="J45" s="43">
        <f>IF($B$8=12,C45,IF($B$8=4,C23,IF($B$8=6,0,IF($B$8=3,0,0))))</f>
        <v>0</v>
      </c>
      <c r="K45" s="68">
        <f>IF($B$8=12,D45,IF($B$8=4,D23,IF($B$8=6,0,IF($B$8=3,0,0))))</f>
        <v>0</v>
      </c>
      <c r="M45" s="4195"/>
      <c r="N45" s="9" t="s">
        <v>26</v>
      </c>
      <c r="O45" s="43">
        <f t="shared" si="6"/>
        <v>0</v>
      </c>
      <c r="P45" s="43">
        <f t="shared" si="6"/>
        <v>0</v>
      </c>
      <c r="Q45" s="44">
        <f t="shared" si="6"/>
        <v>0</v>
      </c>
    </row>
    <row r="46" spans="1:17" ht="15.75" customHeight="1">
      <c r="A46" s="23">
        <v>35</v>
      </c>
      <c r="B46" s="43">
        <f t="shared" si="0"/>
        <v>0</v>
      </c>
      <c r="C46" s="123">
        <f t="shared" si="2"/>
        <v>0</v>
      </c>
      <c r="D46" s="43">
        <f t="shared" si="3"/>
        <v>0</v>
      </c>
      <c r="E46" s="68">
        <f t="shared" si="4"/>
        <v>0</v>
      </c>
      <c r="G46" s="4198"/>
      <c r="H46" s="22" t="s">
        <v>27</v>
      </c>
      <c r="I46" s="43">
        <f>IF($B$8=12,B46,IF($B$8=4,0,IF($B$8=6,B29,IF($B$8=3,0,0))))</f>
        <v>0</v>
      </c>
      <c r="J46" s="43">
        <f>IF($B$8=12,C46,IF($B$8=4,0,IF($B$8=6,C29,IF($B$8=3,0,0))))</f>
        <v>0</v>
      </c>
      <c r="K46" s="68">
        <f>IF($B$8=12,D46,IF($B$8=4,0,IF($B$8=6,D29,IF($B$8=3,0,0))))</f>
        <v>0</v>
      </c>
      <c r="M46" s="4195"/>
      <c r="N46" s="9" t="s">
        <v>27</v>
      </c>
      <c r="O46" s="43">
        <f t="shared" si="6"/>
        <v>0</v>
      </c>
      <c r="P46" s="43">
        <f t="shared" si="6"/>
        <v>0</v>
      </c>
      <c r="Q46" s="44">
        <f t="shared" si="6"/>
        <v>0</v>
      </c>
    </row>
    <row r="47" spans="1:17" ht="15.75" customHeight="1" thickBot="1">
      <c r="A47" s="24">
        <v>36</v>
      </c>
      <c r="B47" s="70">
        <f t="shared" si="0"/>
        <v>0</v>
      </c>
      <c r="C47" s="139">
        <f t="shared" si="2"/>
        <v>0</v>
      </c>
      <c r="D47" s="70">
        <f t="shared" si="3"/>
        <v>0</v>
      </c>
      <c r="E47" s="75">
        <f t="shared" si="4"/>
        <v>0</v>
      </c>
      <c r="G47" s="4199"/>
      <c r="H47" s="25" t="s">
        <v>28</v>
      </c>
      <c r="I47" s="70">
        <f>IF($B$8=12,B47,IF($B$8=4,0,IF($B$8=6,0,IF($B$8=3,0,0))))</f>
        <v>0</v>
      </c>
      <c r="J47" s="70">
        <f>IF($B$8=12,C47,IF($B$8=4,0,IF($B$8=6,0,IF($B$8=3,0,0))))</f>
        <v>0</v>
      </c>
      <c r="K47" s="72">
        <f>IF($B$8=12,D47,IF($B$8=4,0,IF($B$8=6,0,IF($B$8=3,0,0))))</f>
        <v>0</v>
      </c>
      <c r="M47" s="4196"/>
      <c r="N47" s="35" t="s">
        <v>28</v>
      </c>
      <c r="O47" s="45">
        <f t="shared" si="6"/>
        <v>0</v>
      </c>
      <c r="P47" s="45">
        <f t="shared" si="6"/>
        <v>0</v>
      </c>
      <c r="Q47" s="46">
        <f t="shared" si="6"/>
        <v>0</v>
      </c>
    </row>
    <row r="48" spans="1:17" ht="15.75" customHeight="1">
      <c r="A48" s="23">
        <v>37</v>
      </c>
      <c r="B48" s="43">
        <f t="shared" si="0"/>
        <v>0</v>
      </c>
      <c r="C48" s="123">
        <f t="shared" si="2"/>
        <v>0</v>
      </c>
      <c r="D48" s="43">
        <f t="shared" si="3"/>
        <v>0</v>
      </c>
      <c r="E48" s="68">
        <f t="shared" si="4"/>
        <v>0</v>
      </c>
      <c r="G48" s="4197">
        <v>2018</v>
      </c>
      <c r="H48" s="22" t="s">
        <v>17</v>
      </c>
      <c r="I48" s="43">
        <f>IF($B$8=12,B48,IF($B$8=4,B24,IF($B$8=6,B30,IF($B$8=3,B21,IF($B$8=2,B18,IF($B$8=1,B15,0))))))</f>
        <v>0</v>
      </c>
      <c r="J48" s="43">
        <f>IF($B$8=12,C48,IF($B$8=4,C24,IF($B$8=6,C30,IF($B$8=3,C21,IF($B$8=2,C18,IF($B$8=1,C15,0))))))</f>
        <v>0</v>
      </c>
      <c r="K48" s="68">
        <f>IF($B$8=12,D48,IF($B$8=4,D24,IF($B$8=6,D30,IF($B$8=3,D21,IF($B$8=2,D18,IF($B$8=1,D15,0))))))</f>
        <v>0</v>
      </c>
      <c r="M48" s="4194">
        <v>2018</v>
      </c>
      <c r="N48" s="9" t="s">
        <v>17</v>
      </c>
      <c r="O48" s="76">
        <f t="shared" ref="O48:Q59" si="7">IF($I$6=4,I12,IF($I$6=3,I24,IF($I$6=2,I36,IF($I$6=1,I48,0))))</f>
        <v>0</v>
      </c>
      <c r="P48" s="76">
        <f t="shared" si="7"/>
        <v>0</v>
      </c>
      <c r="Q48" s="77">
        <f t="shared" si="7"/>
        <v>0</v>
      </c>
    </row>
    <row r="49" spans="1:17" ht="15.75" customHeight="1">
      <c r="A49" s="23">
        <v>38</v>
      </c>
      <c r="B49" s="43">
        <f t="shared" si="0"/>
        <v>0</v>
      </c>
      <c r="C49" s="123">
        <f t="shared" si="2"/>
        <v>0</v>
      </c>
      <c r="D49" s="43">
        <f t="shared" si="3"/>
        <v>0</v>
      </c>
      <c r="E49" s="68">
        <f t="shared" si="4"/>
        <v>0</v>
      </c>
      <c r="G49" s="4198"/>
      <c r="H49" s="22" t="s">
        <v>18</v>
      </c>
      <c r="I49" s="43">
        <f>IF($B$8=12,B49,0)</f>
        <v>0</v>
      </c>
      <c r="J49" s="43">
        <f>IF($B$8=12,C49,0)</f>
        <v>0</v>
      </c>
      <c r="K49" s="68">
        <f>IF($B$8=12,D49,0)</f>
        <v>0</v>
      </c>
      <c r="M49" s="4195"/>
      <c r="N49" s="9" t="s">
        <v>18</v>
      </c>
      <c r="O49" s="43">
        <f t="shared" si="7"/>
        <v>0</v>
      </c>
      <c r="P49" s="43">
        <f t="shared" si="7"/>
        <v>0</v>
      </c>
      <c r="Q49" s="44">
        <f t="shared" si="7"/>
        <v>0</v>
      </c>
    </row>
    <row r="50" spans="1:17" ht="15.75" customHeight="1">
      <c r="A50" s="23">
        <v>39</v>
      </c>
      <c r="B50" s="43">
        <f t="shared" si="0"/>
        <v>0</v>
      </c>
      <c r="C50" s="123">
        <f t="shared" si="2"/>
        <v>0</v>
      </c>
      <c r="D50" s="43">
        <f t="shared" si="3"/>
        <v>0</v>
      </c>
      <c r="E50" s="68">
        <f t="shared" si="4"/>
        <v>0</v>
      </c>
      <c r="G50" s="4198"/>
      <c r="H50" s="22" t="s">
        <v>19</v>
      </c>
      <c r="I50" s="43">
        <f>IF($B$8=12,B50,IF($B$8=6,B31,0))</f>
        <v>0</v>
      </c>
      <c r="J50" s="43">
        <f>IF($B$8=12,C50,IF($B$8=6,C31,0))</f>
        <v>0</v>
      </c>
      <c r="K50" s="68">
        <f>IF($B$8=12,D50,IF($B$8=6,D31,0))</f>
        <v>0</v>
      </c>
      <c r="M50" s="4195"/>
      <c r="N50" s="9" t="s">
        <v>19</v>
      </c>
      <c r="O50" s="43">
        <f t="shared" si="7"/>
        <v>0</v>
      </c>
      <c r="P50" s="43">
        <f t="shared" si="7"/>
        <v>0</v>
      </c>
      <c r="Q50" s="44">
        <f t="shared" si="7"/>
        <v>0</v>
      </c>
    </row>
    <row r="51" spans="1:17" ht="15.75" customHeight="1">
      <c r="A51" s="23">
        <v>40</v>
      </c>
      <c r="B51" s="43">
        <f t="shared" si="0"/>
        <v>0</v>
      </c>
      <c r="C51" s="123">
        <f t="shared" si="2"/>
        <v>0</v>
      </c>
      <c r="D51" s="43">
        <f t="shared" si="3"/>
        <v>0</v>
      </c>
      <c r="E51" s="68">
        <f t="shared" si="4"/>
        <v>0</v>
      </c>
      <c r="G51" s="4198"/>
      <c r="H51" s="22" t="s">
        <v>20</v>
      </c>
      <c r="I51" s="43">
        <f>IF($B$8=12,B51,IF($B$8=4,B25,IF($B$8=6,0,IF($B$8=3,0,0))))</f>
        <v>0</v>
      </c>
      <c r="J51" s="43">
        <f>IF($B$8=12,C51,IF($B$8=4,C25,IF($B$8=6,0,IF($B$8=3,0,0))))</f>
        <v>0</v>
      </c>
      <c r="K51" s="68">
        <f>IF($B$8=12,D51,IF($B$8=4,D25,IF($B$8=6,0,IF($B$8=3,0,0))))</f>
        <v>0</v>
      </c>
      <c r="M51" s="4195"/>
      <c r="N51" s="9" t="s">
        <v>20</v>
      </c>
      <c r="O51" s="43">
        <f t="shared" si="7"/>
        <v>0</v>
      </c>
      <c r="P51" s="43">
        <f t="shared" si="7"/>
        <v>0</v>
      </c>
      <c r="Q51" s="44">
        <f t="shared" si="7"/>
        <v>0</v>
      </c>
    </row>
    <row r="52" spans="1:17" ht="15.75" customHeight="1">
      <c r="A52" s="23">
        <v>41</v>
      </c>
      <c r="B52" s="43">
        <f t="shared" si="0"/>
        <v>0</v>
      </c>
      <c r="C52" s="123">
        <f t="shared" si="2"/>
        <v>0</v>
      </c>
      <c r="D52" s="43">
        <f t="shared" si="3"/>
        <v>0</v>
      </c>
      <c r="E52" s="68">
        <f t="shared" si="4"/>
        <v>0</v>
      </c>
      <c r="G52" s="4198"/>
      <c r="H52" s="22" t="s">
        <v>21</v>
      </c>
      <c r="I52" s="43">
        <f>IF($B$8=12,B52,IF($B$8=4,0,IF($B$8=6,B32,IF($B$8=3,B22,0))))</f>
        <v>0</v>
      </c>
      <c r="J52" s="43">
        <f>IF($B$8=12,C52,IF($B$8=4,0,IF($B$8=6,C32,IF($B$8=3,C22,0))))</f>
        <v>0</v>
      </c>
      <c r="K52" s="68">
        <f>IF($B$8=12,D52,IF($B$8=4,0,IF($B$8=6,D32,IF($B$8=3,D22,0))))</f>
        <v>0</v>
      </c>
      <c r="M52" s="4195"/>
      <c r="N52" s="9" t="s">
        <v>21</v>
      </c>
      <c r="O52" s="43">
        <f t="shared" si="7"/>
        <v>0</v>
      </c>
      <c r="P52" s="43">
        <f t="shared" si="7"/>
        <v>0</v>
      </c>
      <c r="Q52" s="44">
        <f t="shared" si="7"/>
        <v>0</v>
      </c>
    </row>
    <row r="53" spans="1:17" ht="15.75" customHeight="1">
      <c r="A53" s="23">
        <v>42</v>
      </c>
      <c r="B53" s="43">
        <f t="shared" si="0"/>
        <v>0</v>
      </c>
      <c r="C53" s="123">
        <f t="shared" si="2"/>
        <v>0</v>
      </c>
      <c r="D53" s="43">
        <f t="shared" si="3"/>
        <v>0</v>
      </c>
      <c r="E53" s="68">
        <f t="shared" si="4"/>
        <v>0</v>
      </c>
      <c r="G53" s="4198"/>
      <c r="H53" s="22" t="s">
        <v>22</v>
      </c>
      <c r="I53" s="43">
        <f>IF($B$8=12,B53,IF($B$8=4,0,IF($B$8=6,0,IF($B$8=3,0,0))))</f>
        <v>0</v>
      </c>
      <c r="J53" s="43">
        <f>IF($B$8=12,C53,IF($B$8=4,0,IF($B$8=6,0,IF($B$8=3,0,0))))</f>
        <v>0</v>
      </c>
      <c r="K53" s="68">
        <f>IF($B$8=12,D53,IF($B$8=4,0,IF($B$8=6,0,IF($B$8=3,0,0))))</f>
        <v>0</v>
      </c>
      <c r="M53" s="4195"/>
      <c r="N53" s="9" t="s">
        <v>22</v>
      </c>
      <c r="O53" s="43">
        <f t="shared" si="7"/>
        <v>0</v>
      </c>
      <c r="P53" s="43">
        <f t="shared" si="7"/>
        <v>0</v>
      </c>
      <c r="Q53" s="44">
        <f t="shared" si="7"/>
        <v>0</v>
      </c>
    </row>
    <row r="54" spans="1:17" ht="15.75" customHeight="1">
      <c r="A54" s="23">
        <v>43</v>
      </c>
      <c r="B54" s="43">
        <f t="shared" si="0"/>
        <v>0</v>
      </c>
      <c r="C54" s="123">
        <f t="shared" si="2"/>
        <v>0</v>
      </c>
      <c r="D54" s="43">
        <f t="shared" si="3"/>
        <v>0</v>
      </c>
      <c r="E54" s="68">
        <f t="shared" si="4"/>
        <v>0</v>
      </c>
      <c r="G54" s="4198"/>
      <c r="H54" s="22" t="s">
        <v>23</v>
      </c>
      <c r="I54" s="43">
        <f>IF($B$8=12,B54,IF($B$8=4,B26,IF($B$8=6,B33,IF($B$8=3,0,IF($B$8=2,B19,0)))))</f>
        <v>0</v>
      </c>
      <c r="J54" s="43">
        <f>IF($B$8=12,C54,IF($B$8=4,C26,IF($B$8=6,C33,IF($B$8=3,0,IF($B$8=2,C19,0)))))</f>
        <v>0</v>
      </c>
      <c r="K54" s="68">
        <f>IF($B$8=12,D54,IF($B$8=4,D26,IF($B$8=6,D33,IF($B$8=3,0,IF($B$8=2,D19,0)))))</f>
        <v>0</v>
      </c>
      <c r="M54" s="4195"/>
      <c r="N54" s="9" t="s">
        <v>23</v>
      </c>
      <c r="O54" s="43">
        <f t="shared" si="7"/>
        <v>0</v>
      </c>
      <c r="P54" s="43">
        <f t="shared" si="7"/>
        <v>0</v>
      </c>
      <c r="Q54" s="44">
        <f t="shared" si="7"/>
        <v>0</v>
      </c>
    </row>
    <row r="55" spans="1:17" ht="15.75" customHeight="1">
      <c r="A55" s="23">
        <v>44</v>
      </c>
      <c r="B55" s="43">
        <f t="shared" si="0"/>
        <v>0</v>
      </c>
      <c r="C55" s="123">
        <f t="shared" si="2"/>
        <v>0</v>
      </c>
      <c r="D55" s="43">
        <f t="shared" si="3"/>
        <v>0</v>
      </c>
      <c r="E55" s="68">
        <f t="shared" si="4"/>
        <v>0</v>
      </c>
      <c r="G55" s="4198"/>
      <c r="H55" s="22" t="s">
        <v>24</v>
      </c>
      <c r="I55" s="43">
        <f>IF($B$8=12,B55,IF($B$8=4,0,IF($B$8=6,0,IF($B$8=3,0,0))))</f>
        <v>0</v>
      </c>
      <c r="J55" s="43">
        <f>IF($B$8=12,C55,IF($B$8=4,0,IF($B$8=6,0,IF($B$8=3,0,0))))</f>
        <v>0</v>
      </c>
      <c r="K55" s="68">
        <f>IF($B$8=12,D55,IF($B$8=4,0,IF($B$8=6,0,IF($B$8=3,0,0))))</f>
        <v>0</v>
      </c>
      <c r="M55" s="4195"/>
      <c r="N55" s="9" t="s">
        <v>24</v>
      </c>
      <c r="O55" s="43">
        <f t="shared" si="7"/>
        <v>0</v>
      </c>
      <c r="P55" s="43">
        <f t="shared" si="7"/>
        <v>0</v>
      </c>
      <c r="Q55" s="44">
        <f t="shared" si="7"/>
        <v>0</v>
      </c>
    </row>
    <row r="56" spans="1:17" ht="15.75" customHeight="1">
      <c r="A56" s="23">
        <v>45</v>
      </c>
      <c r="B56" s="43">
        <f t="shared" si="0"/>
        <v>0</v>
      </c>
      <c r="C56" s="123">
        <f t="shared" si="2"/>
        <v>0</v>
      </c>
      <c r="D56" s="43">
        <f t="shared" si="3"/>
        <v>0</v>
      </c>
      <c r="E56" s="68">
        <f t="shared" si="4"/>
        <v>0</v>
      </c>
      <c r="G56" s="4198"/>
      <c r="H56" s="22" t="s">
        <v>25</v>
      </c>
      <c r="I56" s="43">
        <f>IF($B$8=12,B56,IF($B$8=4,0,IF($B$8=6,B34,IF($B$8=3,B23,0))))</f>
        <v>0</v>
      </c>
      <c r="J56" s="43">
        <f>IF($B$8=12,C56,IF($B$8=4,0,IF($B$8=6,C34,IF($B$8=3,C23,0))))</f>
        <v>0</v>
      </c>
      <c r="K56" s="68">
        <f>IF($B$8=12,D56,IF($B$8=4,0,IF($B$8=6,D34,IF($B$8=3,D23,0))))</f>
        <v>0</v>
      </c>
      <c r="M56" s="4195"/>
      <c r="N56" s="9" t="s">
        <v>25</v>
      </c>
      <c r="O56" s="43">
        <f t="shared" si="7"/>
        <v>0</v>
      </c>
      <c r="P56" s="43">
        <f t="shared" si="7"/>
        <v>0</v>
      </c>
      <c r="Q56" s="44">
        <f t="shared" si="7"/>
        <v>0</v>
      </c>
    </row>
    <row r="57" spans="1:17" ht="15.75" customHeight="1">
      <c r="A57" s="23">
        <v>46</v>
      </c>
      <c r="B57" s="43">
        <f t="shared" si="0"/>
        <v>0</v>
      </c>
      <c r="C57" s="123">
        <f t="shared" si="2"/>
        <v>0</v>
      </c>
      <c r="D57" s="43">
        <f t="shared" si="3"/>
        <v>0</v>
      </c>
      <c r="E57" s="68">
        <f t="shared" si="4"/>
        <v>0</v>
      </c>
      <c r="G57" s="4198"/>
      <c r="H57" s="22" t="s">
        <v>26</v>
      </c>
      <c r="I57" s="43">
        <f>IF($B$8=12,B57,IF($B$8=4,B27,IF($B$8=6,0,IF($B$8=3,0,0))))</f>
        <v>0</v>
      </c>
      <c r="J57" s="43">
        <f>IF($B$8=12,C57,IF($B$8=4,C27,IF($B$8=6,0,IF($B$8=3,0,0))))</f>
        <v>0</v>
      </c>
      <c r="K57" s="68">
        <f>IF($B$8=12,D57,IF($B$8=4,D27,IF($B$8=6,0,IF($B$8=3,0,0))))</f>
        <v>0</v>
      </c>
      <c r="M57" s="4195"/>
      <c r="N57" s="9" t="s">
        <v>26</v>
      </c>
      <c r="O57" s="43">
        <f t="shared" si="7"/>
        <v>0</v>
      </c>
      <c r="P57" s="43">
        <f t="shared" si="7"/>
        <v>0</v>
      </c>
      <c r="Q57" s="44">
        <f t="shared" si="7"/>
        <v>0</v>
      </c>
    </row>
    <row r="58" spans="1:17" ht="15.75" customHeight="1">
      <c r="A58" s="23">
        <v>47</v>
      </c>
      <c r="B58" s="43">
        <f t="shared" si="0"/>
        <v>0</v>
      </c>
      <c r="C58" s="123">
        <f t="shared" si="2"/>
        <v>0</v>
      </c>
      <c r="D58" s="43">
        <f t="shared" si="3"/>
        <v>0</v>
      </c>
      <c r="E58" s="68">
        <f t="shared" si="4"/>
        <v>0</v>
      </c>
      <c r="G58" s="4198"/>
      <c r="H58" s="22" t="s">
        <v>27</v>
      </c>
      <c r="I58" s="43">
        <f>IF($B$8=12,B58,IF($B$8=4,0,IF($B$8=6,B35,IF($B$8=3,0,0))))</f>
        <v>0</v>
      </c>
      <c r="J58" s="43">
        <f>IF($B$8=12,C58,IF($B$8=4,0,IF($B$8=6,C35,IF($B$8=3,0,0))))</f>
        <v>0</v>
      </c>
      <c r="K58" s="68">
        <f>IF($B$8=12,D58,IF($B$8=4,0,IF($B$8=6,D35,IF($B$8=3,0,0))))</f>
        <v>0</v>
      </c>
      <c r="M58" s="4195"/>
      <c r="N58" s="9" t="s">
        <v>27</v>
      </c>
      <c r="O58" s="43">
        <f t="shared" si="7"/>
        <v>0</v>
      </c>
      <c r="P58" s="43">
        <f t="shared" si="7"/>
        <v>0</v>
      </c>
      <c r="Q58" s="44">
        <f t="shared" si="7"/>
        <v>0</v>
      </c>
    </row>
    <row r="59" spans="1:17" ht="15.75" customHeight="1" thickBot="1">
      <c r="A59" s="24">
        <v>48</v>
      </c>
      <c r="B59" s="70">
        <f t="shared" si="0"/>
        <v>0</v>
      </c>
      <c r="C59" s="139">
        <f t="shared" si="2"/>
        <v>0</v>
      </c>
      <c r="D59" s="70">
        <f t="shared" si="3"/>
        <v>0</v>
      </c>
      <c r="E59" s="75">
        <f t="shared" si="4"/>
        <v>0</v>
      </c>
      <c r="G59" s="4199"/>
      <c r="H59" s="25" t="s">
        <v>28</v>
      </c>
      <c r="I59" s="70">
        <f>IF($B$8=12,B59,IF($B$8=4,0,IF($B$8=6,0,IF($B$8=3,0,0))))</f>
        <v>0</v>
      </c>
      <c r="J59" s="70">
        <f>IF($B$8=12,C59,IF($B$8=4,0,IF($B$8=6,0,IF($B$8=3,0,0))))</f>
        <v>0</v>
      </c>
      <c r="K59" s="72">
        <f>IF($B$8=12,D59,IF($B$8=4,0,IF($B$8=6,0,IF($B$8=3,0,0))))</f>
        <v>0</v>
      </c>
      <c r="M59" s="4196"/>
      <c r="N59" s="35" t="s">
        <v>28</v>
      </c>
      <c r="O59" s="45">
        <f t="shared" si="7"/>
        <v>0</v>
      </c>
      <c r="P59" s="45">
        <f t="shared" si="7"/>
        <v>0</v>
      </c>
      <c r="Q59" s="46">
        <f t="shared" si="7"/>
        <v>0</v>
      </c>
    </row>
    <row r="60" spans="1:17" ht="15.75" customHeight="1">
      <c r="A60" s="23">
        <v>49</v>
      </c>
      <c r="B60" s="43">
        <f t="shared" si="0"/>
        <v>0</v>
      </c>
      <c r="C60" s="123">
        <f t="shared" si="2"/>
        <v>0</v>
      </c>
      <c r="D60" s="43">
        <f t="shared" si="3"/>
        <v>0</v>
      </c>
      <c r="E60" s="68">
        <f t="shared" si="4"/>
        <v>0</v>
      </c>
      <c r="G60" s="4197">
        <v>2019</v>
      </c>
      <c r="H60" s="22" t="s">
        <v>17</v>
      </c>
      <c r="I60" s="43">
        <f>IF($B$8=12,B60,IF($B$8=4,B28,IF($B$8=6,B36,IF($B$8=3,B24,IF($B$8=2,B20,IF($B$8=1,B16,0))))))</f>
        <v>0</v>
      </c>
      <c r="J60" s="43">
        <f>IF($B$8=12,C60,IF($B$8=4,C28,IF($B$8=6,C36,IF($B$8=3,C24,IF($B$8=2,C20,IF($B$8=1,C16,0))))))</f>
        <v>0</v>
      </c>
      <c r="K60" s="68">
        <f>IF($B$8=12,D60,IF($B$8=4,D28,IF($B$8=6,D36,IF($B$8=3,D24,IF($B$8=2,D20,IF($B$8=1,D16,0))))))</f>
        <v>0</v>
      </c>
      <c r="M60" s="4194">
        <v>2019</v>
      </c>
      <c r="N60" s="9" t="s">
        <v>17</v>
      </c>
      <c r="O60" s="76">
        <f t="shared" ref="O60:Q75" si="8">IF($I$6=5,I12,IF($I$6=4,I24,IF($I$6=3,I36,IF($I$6=2,I48,IF($I$6=1,I60,0)))))</f>
        <v>0</v>
      </c>
      <c r="P60" s="76">
        <f t="shared" si="8"/>
        <v>0</v>
      </c>
      <c r="Q60" s="77">
        <f t="shared" si="8"/>
        <v>0</v>
      </c>
    </row>
    <row r="61" spans="1:17" ht="15.75" customHeight="1">
      <c r="A61" s="23">
        <v>50</v>
      </c>
      <c r="B61" s="43">
        <f t="shared" si="0"/>
        <v>0</v>
      </c>
      <c r="C61" s="123">
        <f t="shared" si="2"/>
        <v>0</v>
      </c>
      <c r="D61" s="43">
        <f t="shared" si="3"/>
        <v>0</v>
      </c>
      <c r="E61" s="68">
        <f t="shared" si="4"/>
        <v>0</v>
      </c>
      <c r="G61" s="4198"/>
      <c r="H61" s="22" t="s">
        <v>18</v>
      </c>
      <c r="I61" s="43">
        <f>IF($B$8=12,B61,0)</f>
        <v>0</v>
      </c>
      <c r="J61" s="43">
        <f>IF($B$8=12,C61,0)</f>
        <v>0</v>
      </c>
      <c r="K61" s="68">
        <f>IF($B$8=12,D61,0)</f>
        <v>0</v>
      </c>
      <c r="M61" s="4195"/>
      <c r="N61" s="9" t="s">
        <v>18</v>
      </c>
      <c r="O61" s="43">
        <f t="shared" si="8"/>
        <v>0</v>
      </c>
      <c r="P61" s="43">
        <f t="shared" si="8"/>
        <v>0</v>
      </c>
      <c r="Q61" s="44">
        <f t="shared" si="8"/>
        <v>0</v>
      </c>
    </row>
    <row r="62" spans="1:17" ht="15.75" customHeight="1">
      <c r="A62" s="23">
        <v>51</v>
      </c>
      <c r="B62" s="43">
        <f t="shared" si="0"/>
        <v>0</v>
      </c>
      <c r="C62" s="123">
        <f t="shared" si="2"/>
        <v>0</v>
      </c>
      <c r="D62" s="43">
        <f t="shared" si="3"/>
        <v>0</v>
      </c>
      <c r="E62" s="68">
        <f t="shared" si="4"/>
        <v>0</v>
      </c>
      <c r="G62" s="4198"/>
      <c r="H62" s="22" t="s">
        <v>19</v>
      </c>
      <c r="I62" s="43">
        <f>IF($B$8=12,B62,IF($B$8=6,B37,0))</f>
        <v>0</v>
      </c>
      <c r="J62" s="43">
        <f>IF($B$8=12,C62,IF($B$8=6,C37,0))</f>
        <v>0</v>
      </c>
      <c r="K62" s="68">
        <f>IF($B$8=12,D62,IF($B$8=6,D37,0))</f>
        <v>0</v>
      </c>
      <c r="M62" s="4195"/>
      <c r="N62" s="9" t="s">
        <v>19</v>
      </c>
      <c r="O62" s="43">
        <f t="shared" si="8"/>
        <v>0</v>
      </c>
      <c r="P62" s="43">
        <f t="shared" si="8"/>
        <v>0</v>
      </c>
      <c r="Q62" s="44">
        <f t="shared" si="8"/>
        <v>0</v>
      </c>
    </row>
    <row r="63" spans="1:17" ht="15.75" customHeight="1">
      <c r="A63" s="23">
        <v>52</v>
      </c>
      <c r="B63" s="43">
        <f t="shared" si="0"/>
        <v>0</v>
      </c>
      <c r="C63" s="123">
        <f t="shared" si="2"/>
        <v>0</v>
      </c>
      <c r="D63" s="43">
        <f t="shared" si="3"/>
        <v>0</v>
      </c>
      <c r="E63" s="68">
        <f t="shared" si="4"/>
        <v>0</v>
      </c>
      <c r="G63" s="4198"/>
      <c r="H63" s="22" t="s">
        <v>20</v>
      </c>
      <c r="I63" s="43">
        <f>IF($B$8=12,B63,IF($B$8=4,B29,IF($B$8=6,0,IF($B$8=3,0,0))))</f>
        <v>0</v>
      </c>
      <c r="J63" s="43">
        <f>IF($B$8=12,C63,IF($B$8=4,C29,IF($B$8=6,0,IF($B$8=3,0,0))))</f>
        <v>0</v>
      </c>
      <c r="K63" s="68">
        <f>IF($B$8=12,D63,IF($B$8=4,D29,IF($B$8=6,0,IF($B$8=3,0,0))))</f>
        <v>0</v>
      </c>
      <c r="M63" s="4195"/>
      <c r="N63" s="9" t="s">
        <v>20</v>
      </c>
      <c r="O63" s="43">
        <f t="shared" si="8"/>
        <v>0</v>
      </c>
      <c r="P63" s="43">
        <f t="shared" si="8"/>
        <v>0</v>
      </c>
      <c r="Q63" s="44">
        <f t="shared" si="8"/>
        <v>0</v>
      </c>
    </row>
    <row r="64" spans="1:17" ht="15.75" customHeight="1">
      <c r="A64" s="23">
        <v>53</v>
      </c>
      <c r="B64" s="43">
        <f t="shared" si="0"/>
        <v>0</v>
      </c>
      <c r="C64" s="123">
        <f t="shared" si="2"/>
        <v>0</v>
      </c>
      <c r="D64" s="43">
        <f t="shared" si="3"/>
        <v>0</v>
      </c>
      <c r="E64" s="68">
        <f t="shared" si="4"/>
        <v>0</v>
      </c>
      <c r="G64" s="4198"/>
      <c r="H64" s="22" t="s">
        <v>21</v>
      </c>
      <c r="I64" s="43">
        <f>IF($B$8=12,B64,IF($B$8=4,0,IF($B$8=6,B38,IF($B$8=3,B25,0))))</f>
        <v>0</v>
      </c>
      <c r="J64" s="43">
        <f>IF($B$8=12,C64,IF($B$8=4,0,IF($B$8=6,C38,IF($B$8=3,C25,0))))</f>
        <v>0</v>
      </c>
      <c r="K64" s="68">
        <f>IF($B$8=12,D64,IF($B$8=4,0,IF($B$8=6,D38,IF($B$8=3,D25,0))))</f>
        <v>0</v>
      </c>
      <c r="M64" s="4195"/>
      <c r="N64" s="9" t="s">
        <v>21</v>
      </c>
      <c r="O64" s="43">
        <f t="shared" si="8"/>
        <v>0</v>
      </c>
      <c r="P64" s="43">
        <f t="shared" si="8"/>
        <v>0</v>
      </c>
      <c r="Q64" s="44">
        <f t="shared" si="8"/>
        <v>0</v>
      </c>
    </row>
    <row r="65" spans="1:17" ht="15.75" customHeight="1">
      <c r="A65" s="23">
        <v>54</v>
      </c>
      <c r="B65" s="43">
        <f t="shared" si="0"/>
        <v>0</v>
      </c>
      <c r="C65" s="123">
        <f t="shared" si="2"/>
        <v>0</v>
      </c>
      <c r="D65" s="43">
        <f t="shared" si="3"/>
        <v>0</v>
      </c>
      <c r="E65" s="68">
        <f t="shared" si="4"/>
        <v>0</v>
      </c>
      <c r="G65" s="4198"/>
      <c r="H65" s="22" t="s">
        <v>22</v>
      </c>
      <c r="I65" s="43">
        <f>IF($B$8=12,B65,IF($B$8=4,0,IF($B$8=6,0,IF($B$8=3,0,0))))</f>
        <v>0</v>
      </c>
      <c r="J65" s="43">
        <f>IF($B$8=12,C65,IF($B$8=4,0,IF($B$8=6,0,IF($B$8=3,0,0))))</f>
        <v>0</v>
      </c>
      <c r="K65" s="68">
        <f>IF($B$8=12,D65,IF($B$8=4,0,IF($B$8=6,0,IF($B$8=3,0,0))))</f>
        <v>0</v>
      </c>
      <c r="M65" s="4195"/>
      <c r="N65" s="9" t="s">
        <v>22</v>
      </c>
      <c r="O65" s="43">
        <f t="shared" si="8"/>
        <v>0</v>
      </c>
      <c r="P65" s="43">
        <f t="shared" si="8"/>
        <v>0</v>
      </c>
      <c r="Q65" s="44">
        <f t="shared" si="8"/>
        <v>0</v>
      </c>
    </row>
    <row r="66" spans="1:17" ht="15.75" customHeight="1">
      <c r="A66" s="23">
        <v>55</v>
      </c>
      <c r="B66" s="43">
        <f t="shared" si="0"/>
        <v>0</v>
      </c>
      <c r="C66" s="123">
        <f t="shared" si="2"/>
        <v>0</v>
      </c>
      <c r="D66" s="43">
        <f t="shared" si="3"/>
        <v>0</v>
      </c>
      <c r="E66" s="68">
        <f t="shared" si="4"/>
        <v>0</v>
      </c>
      <c r="G66" s="4198"/>
      <c r="H66" s="22" t="s">
        <v>23</v>
      </c>
      <c r="I66" s="43">
        <f>IF($B$8=12,B66,IF($B$8=4,B30,IF($B$8=6,B39,IF($B$8=3,0,IF($B$8=2,B21,0)))))</f>
        <v>0</v>
      </c>
      <c r="J66" s="43">
        <f>IF($B$8=12,C66,IF($B$8=4,C30,IF($B$8=6,C39,IF($B$8=3,0,IF($B$8=2,C21,0)))))</f>
        <v>0</v>
      </c>
      <c r="K66" s="68">
        <f>IF($B$8=12,D66,IF($B$8=4,D30,IF($B$8=6,D39,IF($B$8=3,0,IF($B$8=2,D21,0)))))</f>
        <v>0</v>
      </c>
      <c r="M66" s="4195"/>
      <c r="N66" s="9" t="s">
        <v>23</v>
      </c>
      <c r="O66" s="43">
        <f t="shared" si="8"/>
        <v>0</v>
      </c>
      <c r="P66" s="43">
        <f t="shared" si="8"/>
        <v>0</v>
      </c>
      <c r="Q66" s="44">
        <f t="shared" si="8"/>
        <v>0</v>
      </c>
    </row>
    <row r="67" spans="1:17" ht="15.75" customHeight="1">
      <c r="A67" s="23">
        <v>56</v>
      </c>
      <c r="B67" s="43">
        <f t="shared" si="0"/>
        <v>0</v>
      </c>
      <c r="C67" s="123">
        <f t="shared" si="2"/>
        <v>0</v>
      </c>
      <c r="D67" s="43">
        <f t="shared" si="3"/>
        <v>0</v>
      </c>
      <c r="E67" s="68">
        <f t="shared" si="4"/>
        <v>0</v>
      </c>
      <c r="G67" s="4198"/>
      <c r="H67" s="22" t="s">
        <v>24</v>
      </c>
      <c r="I67" s="43">
        <f>IF($B$8=12,B67,IF($B$8=4,0,IF($B$8=6,0,IF($B$8=3,0,0))))</f>
        <v>0</v>
      </c>
      <c r="J67" s="43">
        <f>IF($B$8=12,C67,IF($B$8=4,0,IF($B$8=6,0,IF($B$8=3,0,0))))</f>
        <v>0</v>
      </c>
      <c r="K67" s="68">
        <f>IF($B$8=12,D67,IF($B$8=4,0,IF($B$8=6,0,IF($B$8=3,0,0))))</f>
        <v>0</v>
      </c>
      <c r="M67" s="4195"/>
      <c r="N67" s="9" t="s">
        <v>24</v>
      </c>
      <c r="O67" s="43">
        <f t="shared" si="8"/>
        <v>0</v>
      </c>
      <c r="P67" s="43">
        <f t="shared" si="8"/>
        <v>0</v>
      </c>
      <c r="Q67" s="44">
        <f t="shared" si="8"/>
        <v>0</v>
      </c>
    </row>
    <row r="68" spans="1:17" ht="15.75" customHeight="1">
      <c r="A68" s="23">
        <v>57</v>
      </c>
      <c r="B68" s="43">
        <f t="shared" si="0"/>
        <v>0</v>
      </c>
      <c r="C68" s="123">
        <f t="shared" si="2"/>
        <v>0</v>
      </c>
      <c r="D68" s="43">
        <f t="shared" si="3"/>
        <v>0</v>
      </c>
      <c r="E68" s="68">
        <f t="shared" si="4"/>
        <v>0</v>
      </c>
      <c r="G68" s="4198"/>
      <c r="H68" s="22" t="s">
        <v>25</v>
      </c>
      <c r="I68" s="43">
        <f>IF($B$8=12,B68,IF($B$8=4,0,IF($B$8=6,B40,IF($B$8=3,B26,0))))</f>
        <v>0</v>
      </c>
      <c r="J68" s="43">
        <f>IF($B$8=12,C68,IF($B$8=4,0,IF($B$8=6,C40,IF($B$8=3,C26,0))))</f>
        <v>0</v>
      </c>
      <c r="K68" s="68">
        <f>IF($B$8=12,D68,IF($B$8=4,0,IF($B$8=6,D40,IF($B$8=3,D26,0))))</f>
        <v>0</v>
      </c>
      <c r="M68" s="4195"/>
      <c r="N68" s="9" t="s">
        <v>25</v>
      </c>
      <c r="O68" s="43">
        <f t="shared" si="8"/>
        <v>0</v>
      </c>
      <c r="P68" s="43">
        <f t="shared" si="8"/>
        <v>0</v>
      </c>
      <c r="Q68" s="44">
        <f t="shared" si="8"/>
        <v>0</v>
      </c>
    </row>
    <row r="69" spans="1:17" ht="15.75" customHeight="1">
      <c r="A69" s="23">
        <v>58</v>
      </c>
      <c r="B69" s="43">
        <f t="shared" si="0"/>
        <v>0</v>
      </c>
      <c r="C69" s="123">
        <f t="shared" si="2"/>
        <v>0</v>
      </c>
      <c r="D69" s="43">
        <f t="shared" si="3"/>
        <v>0</v>
      </c>
      <c r="E69" s="68">
        <f t="shared" si="4"/>
        <v>0</v>
      </c>
      <c r="G69" s="4198"/>
      <c r="H69" s="22" t="s">
        <v>26</v>
      </c>
      <c r="I69" s="43">
        <f>IF($B$8=12,B69,IF($B$8=4,B31,IF($B$8=6,0,IF($B$8=3,0,0))))</f>
        <v>0</v>
      </c>
      <c r="J69" s="43">
        <f>IF($B$8=12,C69,IF($B$8=4,C31,IF($B$8=6,0,IF($B$8=3,0,0))))</f>
        <v>0</v>
      </c>
      <c r="K69" s="68">
        <f>IF($B$8=12,D69,IF($B$8=4,D31,IF($B$8=6,0,IF($B$8=3,0,0))))</f>
        <v>0</v>
      </c>
      <c r="M69" s="4195"/>
      <c r="N69" s="9" t="s">
        <v>26</v>
      </c>
      <c r="O69" s="43">
        <f t="shared" si="8"/>
        <v>0</v>
      </c>
      <c r="P69" s="43">
        <f t="shared" si="8"/>
        <v>0</v>
      </c>
      <c r="Q69" s="44">
        <f t="shared" si="8"/>
        <v>0</v>
      </c>
    </row>
    <row r="70" spans="1:17" ht="15.75" customHeight="1">
      <c r="A70" s="23">
        <v>59</v>
      </c>
      <c r="B70" s="43">
        <f t="shared" si="0"/>
        <v>0</v>
      </c>
      <c r="C70" s="123">
        <f t="shared" si="2"/>
        <v>0</v>
      </c>
      <c r="D70" s="43">
        <f t="shared" si="3"/>
        <v>0</v>
      </c>
      <c r="E70" s="68">
        <f t="shared" si="4"/>
        <v>0</v>
      </c>
      <c r="G70" s="4198"/>
      <c r="H70" s="22" t="s">
        <v>27</v>
      </c>
      <c r="I70" s="43">
        <f>IF($B$8=12,B70,IF($B$8=4,0,IF($B$8=6,B41,IF($B$8=3,0,0))))</f>
        <v>0</v>
      </c>
      <c r="J70" s="43">
        <f>IF($B$8=12,C70,IF($B$8=4,0,IF($B$8=6,C41,IF($B$8=3,0,0))))</f>
        <v>0</v>
      </c>
      <c r="K70" s="68">
        <f>IF($B$8=12,D70,IF($B$8=4,0,IF($B$8=6,D41,IF($B$8=3,0,0))))</f>
        <v>0</v>
      </c>
      <c r="M70" s="4195"/>
      <c r="N70" s="9" t="s">
        <v>27</v>
      </c>
      <c r="O70" s="43">
        <f t="shared" si="8"/>
        <v>0</v>
      </c>
      <c r="P70" s="43">
        <f t="shared" si="8"/>
        <v>0</v>
      </c>
      <c r="Q70" s="44">
        <f t="shared" si="8"/>
        <v>0</v>
      </c>
    </row>
    <row r="71" spans="1:17" ht="15.75" customHeight="1" thickBot="1">
      <c r="A71" s="26">
        <v>60</v>
      </c>
      <c r="B71" s="48">
        <f t="shared" si="0"/>
        <v>0</v>
      </c>
      <c r="C71" s="138">
        <f t="shared" si="2"/>
        <v>0</v>
      </c>
      <c r="D71" s="48">
        <f t="shared" si="3"/>
        <v>0</v>
      </c>
      <c r="E71" s="49">
        <f t="shared" si="4"/>
        <v>0</v>
      </c>
      <c r="G71" s="4199"/>
      <c r="H71" s="38" t="s">
        <v>28</v>
      </c>
      <c r="I71" s="48">
        <f>IF($B$8=12,B71,IF($B$8=4,0,IF($B$8=6,0,IF($B$8=3,0,0))))</f>
        <v>0</v>
      </c>
      <c r="J71" s="48">
        <f>IF($B$8=12,C71,IF($B$8=4,0,IF($B$8=6,0,IF($B$8=3,0,0))))</f>
        <v>0</v>
      </c>
      <c r="K71" s="79">
        <f>IF($B$8=12,D71,IF($B$8=4,0,IF($B$8=6,0,IF($B$8=3,0,0))))</f>
        <v>0</v>
      </c>
      <c r="M71" s="4196"/>
      <c r="N71" s="36" t="s">
        <v>28</v>
      </c>
      <c r="O71" s="48">
        <f t="shared" si="8"/>
        <v>0</v>
      </c>
      <c r="P71" s="48">
        <f t="shared" si="8"/>
        <v>0</v>
      </c>
      <c r="Q71" s="49">
        <f t="shared" si="8"/>
        <v>0</v>
      </c>
    </row>
    <row r="72" spans="1:17" ht="16.5" thickTop="1">
      <c r="A72" s="23">
        <v>61</v>
      </c>
      <c r="B72" s="43">
        <f t="shared" si="0"/>
        <v>0</v>
      </c>
      <c r="C72" s="123">
        <f t="shared" si="2"/>
        <v>0</v>
      </c>
      <c r="D72" s="43">
        <f t="shared" si="3"/>
        <v>0</v>
      </c>
      <c r="E72" s="44">
        <f t="shared" si="4"/>
        <v>0</v>
      </c>
      <c r="H72" s="22" t="s">
        <v>17</v>
      </c>
      <c r="I72" s="43">
        <f t="shared" ref="I72:K83" si="9">IF($B$8=12,B72,IF($B$8=4,0,IF($B$8=6,0,IF($B$8=3,0,0))))</f>
        <v>0</v>
      </c>
      <c r="J72" s="43">
        <f t="shared" si="9"/>
        <v>0</v>
      </c>
      <c r="K72" s="68">
        <f t="shared" si="9"/>
        <v>0</v>
      </c>
      <c r="N72" s="9" t="s">
        <v>17</v>
      </c>
      <c r="O72" s="43">
        <f t="shared" si="8"/>
        <v>0</v>
      </c>
      <c r="P72" s="43">
        <f t="shared" si="8"/>
        <v>0</v>
      </c>
      <c r="Q72" s="44">
        <f t="shared" si="8"/>
        <v>0</v>
      </c>
    </row>
    <row r="73" spans="1:17">
      <c r="A73" s="23">
        <v>62</v>
      </c>
      <c r="B73" s="43">
        <f t="shared" si="0"/>
        <v>0</v>
      </c>
      <c r="C73" s="123">
        <f t="shared" si="2"/>
        <v>0</v>
      </c>
      <c r="D73" s="43">
        <f t="shared" si="3"/>
        <v>0</v>
      </c>
      <c r="E73" s="44">
        <f t="shared" si="4"/>
        <v>0</v>
      </c>
      <c r="H73" s="22" t="s">
        <v>18</v>
      </c>
      <c r="I73" s="43">
        <f t="shared" si="9"/>
        <v>0</v>
      </c>
      <c r="J73" s="43">
        <f t="shared" si="9"/>
        <v>0</v>
      </c>
      <c r="K73" s="68">
        <f t="shared" si="9"/>
        <v>0</v>
      </c>
      <c r="N73" s="9" t="s">
        <v>18</v>
      </c>
      <c r="O73" s="43">
        <f t="shared" si="8"/>
        <v>0</v>
      </c>
      <c r="P73" s="43">
        <f t="shared" si="8"/>
        <v>0</v>
      </c>
      <c r="Q73" s="44">
        <f t="shared" si="8"/>
        <v>0</v>
      </c>
    </row>
    <row r="74" spans="1:17">
      <c r="A74" s="23">
        <v>63</v>
      </c>
      <c r="B74" s="43">
        <f t="shared" si="0"/>
        <v>0</v>
      </c>
      <c r="C74" s="123">
        <f t="shared" si="2"/>
        <v>0</v>
      </c>
      <c r="D74" s="43">
        <f t="shared" si="3"/>
        <v>0</v>
      </c>
      <c r="E74" s="44">
        <f t="shared" si="4"/>
        <v>0</v>
      </c>
      <c r="H74" s="22" t="s">
        <v>19</v>
      </c>
      <c r="I74" s="43">
        <f t="shared" si="9"/>
        <v>0</v>
      </c>
      <c r="J74" s="43">
        <f t="shared" si="9"/>
        <v>0</v>
      </c>
      <c r="K74" s="68">
        <f t="shared" si="9"/>
        <v>0</v>
      </c>
      <c r="N74" s="9" t="s">
        <v>19</v>
      </c>
      <c r="O74" s="43">
        <f t="shared" si="8"/>
        <v>0</v>
      </c>
      <c r="P74" s="43">
        <f t="shared" si="8"/>
        <v>0</v>
      </c>
      <c r="Q74" s="44">
        <f t="shared" si="8"/>
        <v>0</v>
      </c>
    </row>
    <row r="75" spans="1:17">
      <c r="A75" s="23">
        <v>64</v>
      </c>
      <c r="B75" s="43">
        <f t="shared" si="0"/>
        <v>0</v>
      </c>
      <c r="C75" s="123">
        <f t="shared" si="2"/>
        <v>0</v>
      </c>
      <c r="D75" s="43">
        <f t="shared" si="3"/>
        <v>0</v>
      </c>
      <c r="E75" s="44">
        <f t="shared" si="4"/>
        <v>0</v>
      </c>
      <c r="H75" s="22" t="s">
        <v>20</v>
      </c>
      <c r="I75" s="43">
        <f t="shared" si="9"/>
        <v>0</v>
      </c>
      <c r="J75" s="43">
        <f t="shared" si="9"/>
        <v>0</v>
      </c>
      <c r="K75" s="68">
        <f t="shared" si="9"/>
        <v>0</v>
      </c>
      <c r="N75" s="9" t="s">
        <v>20</v>
      </c>
      <c r="O75" s="43">
        <f t="shared" si="8"/>
        <v>0</v>
      </c>
      <c r="P75" s="43">
        <f t="shared" si="8"/>
        <v>0</v>
      </c>
      <c r="Q75" s="44">
        <f t="shared" si="8"/>
        <v>0</v>
      </c>
    </row>
    <row r="76" spans="1:17">
      <c r="A76" s="23">
        <v>65</v>
      </c>
      <c r="B76" s="43">
        <f t="shared" ref="B76:B83" si="10">IF(A76&gt;$I$9,IF(E75&gt;1,PMT($B$6/$B$8,$B$7*$B$8,-$B$5),0),0)</f>
        <v>0</v>
      </c>
      <c r="C76" s="123">
        <f t="shared" si="2"/>
        <v>0</v>
      </c>
      <c r="D76" s="43">
        <f t="shared" si="3"/>
        <v>0</v>
      </c>
      <c r="E76" s="44">
        <f t="shared" si="4"/>
        <v>0</v>
      </c>
      <c r="H76" s="22" t="s">
        <v>21</v>
      </c>
      <c r="I76" s="43">
        <f t="shared" si="9"/>
        <v>0</v>
      </c>
      <c r="J76" s="43">
        <f t="shared" si="9"/>
        <v>0</v>
      </c>
      <c r="K76" s="68">
        <f t="shared" si="9"/>
        <v>0</v>
      </c>
      <c r="N76" s="9" t="s">
        <v>21</v>
      </c>
      <c r="O76" s="43">
        <f t="shared" ref="O76:Q83" si="11">IF($I$6=5,I28,IF($I$6=4,I40,IF($I$6=3,I52,IF($I$6=2,I64,IF($I$6=1,I76,0)))))</f>
        <v>0</v>
      </c>
      <c r="P76" s="43">
        <f t="shared" si="11"/>
        <v>0</v>
      </c>
      <c r="Q76" s="44">
        <f t="shared" si="11"/>
        <v>0</v>
      </c>
    </row>
    <row r="77" spans="1:17">
      <c r="A77" s="23">
        <v>66</v>
      </c>
      <c r="B77" s="43">
        <f t="shared" si="10"/>
        <v>0</v>
      </c>
      <c r="C77" s="123">
        <f t="shared" ref="C77:C83" si="12">IF(B77&gt;0,B77-D77,E77*($B$6/$B$8))</f>
        <v>0</v>
      </c>
      <c r="D77" s="43">
        <f t="shared" ref="D77:D83" si="13">IF(A77&gt;$I$9,B77-(E76*($B$6/$B$8)),0)</f>
        <v>0</v>
      </c>
      <c r="E77" s="44">
        <f t="shared" ref="E77:E83" si="14">IF((E76-D77)&gt;0,E76-D77,0)</f>
        <v>0</v>
      </c>
      <c r="H77" s="22" t="s">
        <v>22</v>
      </c>
      <c r="I77" s="43">
        <f t="shared" si="9"/>
        <v>0</v>
      </c>
      <c r="J77" s="43">
        <f t="shared" si="9"/>
        <v>0</v>
      </c>
      <c r="K77" s="68">
        <f t="shared" si="9"/>
        <v>0</v>
      </c>
      <c r="N77" s="9" t="s">
        <v>22</v>
      </c>
      <c r="O77" s="43">
        <f t="shared" si="11"/>
        <v>0</v>
      </c>
      <c r="P77" s="43">
        <f t="shared" si="11"/>
        <v>0</v>
      </c>
      <c r="Q77" s="44">
        <f t="shared" si="11"/>
        <v>0</v>
      </c>
    </row>
    <row r="78" spans="1:17">
      <c r="A78" s="23">
        <v>67</v>
      </c>
      <c r="B78" s="43">
        <f t="shared" si="10"/>
        <v>0</v>
      </c>
      <c r="C78" s="123">
        <f t="shared" si="12"/>
        <v>0</v>
      </c>
      <c r="D78" s="43">
        <f t="shared" si="13"/>
        <v>0</v>
      </c>
      <c r="E78" s="44">
        <f t="shared" si="14"/>
        <v>0</v>
      </c>
      <c r="H78" s="22" t="s">
        <v>23</v>
      </c>
      <c r="I78" s="43">
        <f t="shared" si="9"/>
        <v>0</v>
      </c>
      <c r="J78" s="43">
        <f t="shared" si="9"/>
        <v>0</v>
      </c>
      <c r="K78" s="68">
        <f t="shared" si="9"/>
        <v>0</v>
      </c>
      <c r="N78" s="9" t="s">
        <v>23</v>
      </c>
      <c r="O78" s="43">
        <f t="shared" si="11"/>
        <v>0</v>
      </c>
      <c r="P78" s="43">
        <f t="shared" si="11"/>
        <v>0</v>
      </c>
      <c r="Q78" s="44">
        <f t="shared" si="11"/>
        <v>0</v>
      </c>
    </row>
    <row r="79" spans="1:17">
      <c r="A79" s="23">
        <v>68</v>
      </c>
      <c r="B79" s="43">
        <f t="shared" si="10"/>
        <v>0</v>
      </c>
      <c r="C79" s="123">
        <f t="shared" si="12"/>
        <v>0</v>
      </c>
      <c r="D79" s="43">
        <f t="shared" si="13"/>
        <v>0</v>
      </c>
      <c r="E79" s="44">
        <f t="shared" si="14"/>
        <v>0</v>
      </c>
      <c r="H79" s="22" t="s">
        <v>24</v>
      </c>
      <c r="I79" s="43">
        <f t="shared" si="9"/>
        <v>0</v>
      </c>
      <c r="J79" s="43">
        <f t="shared" si="9"/>
        <v>0</v>
      </c>
      <c r="K79" s="68">
        <f t="shared" si="9"/>
        <v>0</v>
      </c>
      <c r="N79" s="9" t="s">
        <v>24</v>
      </c>
      <c r="O79" s="43">
        <f t="shared" si="11"/>
        <v>0</v>
      </c>
      <c r="P79" s="43">
        <f t="shared" si="11"/>
        <v>0</v>
      </c>
      <c r="Q79" s="44">
        <f t="shared" si="11"/>
        <v>0</v>
      </c>
    </row>
    <row r="80" spans="1:17">
      <c r="A80" s="23">
        <v>69</v>
      </c>
      <c r="B80" s="43">
        <f t="shared" si="10"/>
        <v>0</v>
      </c>
      <c r="C80" s="123">
        <f t="shared" si="12"/>
        <v>0</v>
      </c>
      <c r="D80" s="43">
        <f t="shared" si="13"/>
        <v>0</v>
      </c>
      <c r="E80" s="44">
        <f t="shared" si="14"/>
        <v>0</v>
      </c>
      <c r="H80" s="22" t="s">
        <v>25</v>
      </c>
      <c r="I80" s="43">
        <f t="shared" si="9"/>
        <v>0</v>
      </c>
      <c r="J80" s="43">
        <f t="shared" si="9"/>
        <v>0</v>
      </c>
      <c r="K80" s="68">
        <f t="shared" si="9"/>
        <v>0</v>
      </c>
      <c r="N80" s="9" t="s">
        <v>25</v>
      </c>
      <c r="O80" s="43">
        <f t="shared" si="11"/>
        <v>0</v>
      </c>
      <c r="P80" s="43">
        <f t="shared" si="11"/>
        <v>0</v>
      </c>
      <c r="Q80" s="44">
        <f t="shared" si="11"/>
        <v>0</v>
      </c>
    </row>
    <row r="81" spans="1:17">
      <c r="A81" s="23">
        <v>70</v>
      </c>
      <c r="B81" s="43">
        <f t="shared" si="10"/>
        <v>0</v>
      </c>
      <c r="C81" s="123">
        <f t="shared" si="12"/>
        <v>0</v>
      </c>
      <c r="D81" s="43">
        <f t="shared" si="13"/>
        <v>0</v>
      </c>
      <c r="E81" s="44">
        <f t="shared" si="14"/>
        <v>0</v>
      </c>
      <c r="H81" s="22" t="s">
        <v>26</v>
      </c>
      <c r="I81" s="43">
        <f t="shared" si="9"/>
        <v>0</v>
      </c>
      <c r="J81" s="43">
        <f t="shared" si="9"/>
        <v>0</v>
      </c>
      <c r="K81" s="68">
        <f t="shared" si="9"/>
        <v>0</v>
      </c>
      <c r="N81" s="9" t="s">
        <v>26</v>
      </c>
      <c r="O81" s="43">
        <f t="shared" si="11"/>
        <v>0</v>
      </c>
      <c r="P81" s="43">
        <f t="shared" si="11"/>
        <v>0</v>
      </c>
      <c r="Q81" s="44">
        <f t="shared" si="11"/>
        <v>0</v>
      </c>
    </row>
    <row r="82" spans="1:17">
      <c r="A82" s="23">
        <v>71</v>
      </c>
      <c r="B82" s="43">
        <f t="shared" si="10"/>
        <v>0</v>
      </c>
      <c r="C82" s="123">
        <f t="shared" si="12"/>
        <v>0</v>
      </c>
      <c r="D82" s="43">
        <f t="shared" si="13"/>
        <v>0</v>
      </c>
      <c r="E82" s="44">
        <f t="shared" si="14"/>
        <v>0</v>
      </c>
      <c r="H82" s="22" t="s">
        <v>27</v>
      </c>
      <c r="I82" s="43">
        <f t="shared" si="9"/>
        <v>0</v>
      </c>
      <c r="J82" s="43">
        <f t="shared" si="9"/>
        <v>0</v>
      </c>
      <c r="K82" s="68">
        <f t="shared" si="9"/>
        <v>0</v>
      </c>
      <c r="N82" s="9" t="s">
        <v>27</v>
      </c>
      <c r="O82" s="43">
        <f t="shared" si="11"/>
        <v>0</v>
      </c>
      <c r="P82" s="43">
        <f t="shared" si="11"/>
        <v>0</v>
      </c>
      <c r="Q82" s="44">
        <f t="shared" si="11"/>
        <v>0</v>
      </c>
    </row>
    <row r="83" spans="1:17" ht="16.5" thickBot="1">
      <c r="A83" s="26">
        <v>72</v>
      </c>
      <c r="B83" s="48">
        <f t="shared" si="10"/>
        <v>0</v>
      </c>
      <c r="C83" s="138">
        <f t="shared" si="12"/>
        <v>0</v>
      </c>
      <c r="D83" s="48">
        <f t="shared" si="13"/>
        <v>0</v>
      </c>
      <c r="E83" s="49">
        <f t="shared" si="14"/>
        <v>0</v>
      </c>
      <c r="H83" s="38" t="s">
        <v>28</v>
      </c>
      <c r="I83" s="48">
        <f t="shared" si="9"/>
        <v>0</v>
      </c>
      <c r="J83" s="48">
        <f t="shared" si="9"/>
        <v>0</v>
      </c>
      <c r="K83" s="79">
        <f t="shared" si="9"/>
        <v>0</v>
      </c>
      <c r="N83" s="36" t="s">
        <v>28</v>
      </c>
      <c r="O83" s="48">
        <f t="shared" si="11"/>
        <v>0</v>
      </c>
      <c r="P83" s="48">
        <f t="shared" si="11"/>
        <v>0</v>
      </c>
      <c r="Q83" s="49">
        <f t="shared" si="11"/>
        <v>0</v>
      </c>
    </row>
    <row r="84" spans="1:17" ht="16.5" thickTop="1"/>
  </sheetData>
  <sheetProtection password="C85D" sheet="1"/>
  <mergeCells count="10">
    <mergeCell ref="G48:G59"/>
    <mergeCell ref="M48:M59"/>
    <mergeCell ref="G60:G71"/>
    <mergeCell ref="M60:M71"/>
    <mergeCell ref="G12:G23"/>
    <mergeCell ref="M12:M23"/>
    <mergeCell ref="G24:G35"/>
    <mergeCell ref="M24:M35"/>
    <mergeCell ref="G36:G47"/>
    <mergeCell ref="M36:M47"/>
  </mergeCells>
  <dataValidations count="2">
    <dataValidation allowBlank="1" showInputMessage="1" showErrorMessage="1" error="Solo valores enteros comprendidos entre 1 y 5" sqref="I6"/>
    <dataValidation type="decimal" allowBlank="1" showErrorMessage="1" sqref="B9">
      <formula1>0</formula1>
      <formula2>12</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topLeftCell="I1" workbookViewId="0">
      <selection activeCell="R17" sqref="R17"/>
    </sheetView>
  </sheetViews>
  <sheetFormatPr baseColWidth="10" defaultColWidth="11.1640625" defaultRowHeight="15.75"/>
  <cols>
    <col min="1" max="1" width="24" style="9" customWidth="1"/>
    <col min="2" max="3" width="18.33203125" style="9" customWidth="1"/>
    <col min="4" max="4" width="20.1640625" style="9" bestFit="1" customWidth="1"/>
    <col min="5" max="5" width="21.83203125" style="9" customWidth="1"/>
    <col min="6" max="6" width="7" style="9" customWidth="1"/>
    <col min="7" max="7" width="3.83203125" style="9" customWidth="1"/>
    <col min="8" max="8" width="26.1640625" style="9" customWidth="1"/>
    <col min="9" max="9" width="18" style="9" customWidth="1"/>
    <col min="10" max="10" width="18.33203125" style="9" customWidth="1"/>
    <col min="11" max="11" width="20.83203125" style="9" customWidth="1"/>
    <col min="12" max="12" width="7" style="9" customWidth="1"/>
    <col min="13" max="13" width="3.83203125" style="9" customWidth="1"/>
    <col min="14" max="14" width="19.33203125" style="9" customWidth="1"/>
    <col min="15" max="16" width="18.33203125" style="9" customWidth="1"/>
    <col min="17" max="17" width="20.83203125" style="9" customWidth="1"/>
    <col min="18" max="18" width="21" style="9" customWidth="1"/>
    <col min="19" max="16384" width="11.1640625" style="9"/>
  </cols>
  <sheetData>
    <row r="1" spans="1:18" ht="39.950000000000003" customHeight="1" thickBot="1">
      <c r="A1" s="8" t="s">
        <v>123</v>
      </c>
      <c r="D1" s="96"/>
      <c r="E1" s="96"/>
      <c r="F1" s="96"/>
    </row>
    <row r="2" spans="1:18" ht="39.950000000000003" customHeight="1" thickTop="1" thickBot="1">
      <c r="A2" s="39"/>
      <c r="N2" s="17" t="s">
        <v>68</v>
      </c>
      <c r="O2" s="31" t="s">
        <v>14</v>
      </c>
      <c r="P2" s="31" t="s">
        <v>66</v>
      </c>
      <c r="Q2" s="33" t="s">
        <v>67</v>
      </c>
      <c r="R2" s="32" t="s">
        <v>15</v>
      </c>
    </row>
    <row r="3" spans="1:18" ht="20.100000000000001" customHeight="1" thickTop="1">
      <c r="A3" s="8" t="s">
        <v>371</v>
      </c>
      <c r="G3" s="39"/>
      <c r="N3" s="27">
        <v>2015</v>
      </c>
      <c r="O3" s="41">
        <f>SUM(O12:O23)</f>
        <v>0</v>
      </c>
      <c r="P3" s="41">
        <f>SUM(P12:P23)</f>
        <v>0</v>
      </c>
      <c r="Q3" s="41">
        <f>SUM(Q12:Q23)</f>
        <v>0</v>
      </c>
      <c r="R3" s="44">
        <f>IF($I$6=1,$B$5-Q3,0)</f>
        <v>0</v>
      </c>
    </row>
    <row r="4" spans="1:18" ht="20.100000000000001" customHeight="1" thickBot="1">
      <c r="N4" s="28">
        <v>2016</v>
      </c>
      <c r="O4" s="43">
        <f>SUM(O24:O35)</f>
        <v>0</v>
      </c>
      <c r="P4" s="43">
        <f>SUM(P24:P35)</f>
        <v>0</v>
      </c>
      <c r="Q4" s="43">
        <f>SUM(Q24:Q35)</f>
        <v>0</v>
      </c>
      <c r="R4" s="44">
        <f>IF($I$6=1,$B$5-(Q3+Q4),IF($I$6=2,$B$5-Q4,0))</f>
        <v>0</v>
      </c>
    </row>
    <row r="5" spans="1:18" ht="20.100000000000001" customHeight="1" thickTop="1" thickBot="1">
      <c r="A5" s="10" t="s">
        <v>54</v>
      </c>
      <c r="B5" s="124">
        <f>'(0) 3a. Préstam Particip.'!L17</f>
        <v>0</v>
      </c>
      <c r="C5" s="96"/>
      <c r="N5" s="28">
        <v>2017</v>
      </c>
      <c r="O5" s="43">
        <f>SUM(O36:O47)</f>
        <v>0</v>
      </c>
      <c r="P5" s="43">
        <f>SUM(P36:P47)</f>
        <v>0</v>
      </c>
      <c r="Q5" s="43">
        <f>SUM(Q36:Q47)</f>
        <v>0</v>
      </c>
      <c r="R5" s="44">
        <f>IF($I$6=1,$B$5-(Q3+Q4+Q5),IF($I$6=2,$B$5-(Q4+Q5),IF($I$6=3,$B$5-(Q5),0)))</f>
        <v>0</v>
      </c>
    </row>
    <row r="6" spans="1:18" ht="20.100000000000001" customHeight="1" thickBot="1">
      <c r="A6" s="11" t="s">
        <v>9</v>
      </c>
      <c r="B6" s="125">
        <f>'(0) 3a. Préstam Particip.'!L18</f>
        <v>0.04</v>
      </c>
      <c r="C6" s="96"/>
      <c r="D6" s="106"/>
      <c r="E6" s="12" t="s">
        <v>70</v>
      </c>
      <c r="F6" s="13"/>
      <c r="G6" s="14"/>
      <c r="H6" s="14"/>
      <c r="I6" s="129" t="str">
        <f>IF('(0) 3a. Préstam Particip.'!L17&gt;0,3,"")</f>
        <v/>
      </c>
      <c r="J6" s="15" t="s">
        <v>75</v>
      </c>
      <c r="N6" s="28">
        <v>2018</v>
      </c>
      <c r="O6" s="43">
        <f>SUM(O48:O59)</f>
        <v>0</v>
      </c>
      <c r="P6" s="43">
        <f>IF(SUM(P48:P59)&lt;&gt;0,SUM(P48:P59),0)</f>
        <v>0</v>
      </c>
      <c r="Q6" s="43">
        <f>SUM(Q48:Q59)</f>
        <v>0</v>
      </c>
      <c r="R6" s="44">
        <f>IF($I$6=1,$B$5-(Q3+Q4+Q5+Q6),IF($I$6=2,$B$5-(Q4+Q5+Q6),IF($I$6=3,$B$5-(Q5+Q6),IF($I$6=4,$B$5-Q6,0))))</f>
        <v>0</v>
      </c>
    </row>
    <row r="7" spans="1:18" ht="20.100000000000001" customHeight="1" thickBot="1">
      <c r="A7" s="11" t="s">
        <v>10</v>
      </c>
      <c r="B7" s="126">
        <f>'(0) 3a. Préstam Particip.'!L19</f>
        <v>6</v>
      </c>
      <c r="C7" s="96"/>
      <c r="N7" s="29">
        <v>2019</v>
      </c>
      <c r="O7" s="48">
        <f>SUM(O60:O71)</f>
        <v>0</v>
      </c>
      <c r="P7" s="48">
        <f>SUM(P60:P71)</f>
        <v>0</v>
      </c>
      <c r="Q7" s="48">
        <f>SUM(Q60:Q71)</f>
        <v>0</v>
      </c>
      <c r="R7" s="49">
        <f>IF($I$6=1,$B$5-(Q3+Q4+Q5+Q6+Q7),IF($I$6=2,$B$5-(Q4+Q5+Q6+Q7),IF($I$6=3,$B$5-(Q5+Q6+Q7),IF($I$6=4,$B$5-(Q6+Q7),IF($I$6=5,$B$5-Q7,0)))))</f>
        <v>0</v>
      </c>
    </row>
    <row r="8" spans="1:18" ht="20.100000000000001" customHeight="1" thickTop="1" thickBot="1">
      <c r="A8" s="11" t="s">
        <v>12</v>
      </c>
      <c r="B8" s="126">
        <f>'(0) 3a. Préstam Particip.'!L20</f>
        <v>4</v>
      </c>
      <c r="C8" s="96"/>
      <c r="N8" s="29">
        <v>2020</v>
      </c>
      <c r="O8" s="48">
        <f>SUM(O72:O83)</f>
        <v>0</v>
      </c>
      <c r="P8" s="48">
        <f>SUM(P72:P83)</f>
        <v>0</v>
      </c>
      <c r="Q8" s="48">
        <f>SUM(Q72:Q83)</f>
        <v>0</v>
      </c>
      <c r="R8" s="49">
        <f>IF($I$6=1,$B$5-(Q3+Q4+Q5+Q6+Q7+Q8),IF($I$6=2,$B$5-(Q4+Q5+Q6+Q7+Q8),IF($I$6=3,$B$5-(Q5+Q6+Q7+Q8),IF($I$6=4,$B$5-(Q6+Q7+Q8),IF($I$6=5,$B$5-(Q7+Q8),IF($I$6=6,$B$5-(Q8),0))))))</f>
        <v>0</v>
      </c>
    </row>
    <row r="9" spans="1:18" ht="20.100000000000001" customHeight="1" thickTop="1" thickBot="1">
      <c r="A9" s="16"/>
      <c r="B9" s="127"/>
      <c r="C9" s="96"/>
      <c r="D9" s="108" t="s">
        <v>82</v>
      </c>
      <c r="E9" s="231">
        <f>'(0) 3a. Préstam Particip.'!L22*0</f>
        <v>0</v>
      </c>
      <c r="H9" s="108" t="s">
        <v>97</v>
      </c>
      <c r="I9" s="128">
        <f>'(0) 3a. Préstam Particip.'!L21</f>
        <v>0</v>
      </c>
    </row>
    <row r="10" spans="1:18" ht="20.100000000000001" customHeight="1" thickTop="1" thickBot="1"/>
    <row r="11" spans="1:18" ht="33" customHeight="1" thickTop="1" thickBot="1">
      <c r="A11" s="17" t="s">
        <v>13</v>
      </c>
      <c r="B11" s="31" t="s">
        <v>14</v>
      </c>
      <c r="C11" s="18" t="s">
        <v>11</v>
      </c>
      <c r="D11" s="18" t="s">
        <v>6</v>
      </c>
      <c r="E11" s="19" t="s">
        <v>15</v>
      </c>
      <c r="F11" s="20"/>
      <c r="H11" s="17" t="s">
        <v>42</v>
      </c>
      <c r="I11" s="31" t="s">
        <v>14</v>
      </c>
      <c r="J11" s="31" t="s">
        <v>66</v>
      </c>
      <c r="K11" s="32" t="s">
        <v>67</v>
      </c>
      <c r="L11" s="20"/>
      <c r="M11" s="30"/>
      <c r="N11" s="17" t="s">
        <v>42</v>
      </c>
      <c r="O11" s="31" t="s">
        <v>14</v>
      </c>
      <c r="P11" s="31" t="s">
        <v>66</v>
      </c>
      <c r="Q11" s="32" t="s">
        <v>67</v>
      </c>
    </row>
    <row r="12" spans="1:18" ht="15.75" customHeight="1" thickTop="1">
      <c r="A12" s="21">
        <v>1</v>
      </c>
      <c r="B12" s="43">
        <f t="shared" ref="B12:B75" si="0">IF(A12&gt;$I$9,IF(E11&gt;1,PMT($B$6/$B$8,$B$7*$B$8,-$B$5),0),0)</f>
        <v>0</v>
      </c>
      <c r="C12" s="122">
        <f>IF(B12&gt;0,B12-D12,E12*($B$6/$B$8))+E9</f>
        <v>0</v>
      </c>
      <c r="D12" s="41">
        <f>IF(A12&gt;$I$9,B12-($B$5*($B$6/$B$8)),0)</f>
        <v>0</v>
      </c>
      <c r="E12" s="67">
        <f>$B$5-D12</f>
        <v>0</v>
      </c>
      <c r="G12" s="4194">
        <v>2015</v>
      </c>
      <c r="H12" s="34" t="s">
        <v>17</v>
      </c>
      <c r="I12" s="41">
        <f>$B$12</f>
        <v>0</v>
      </c>
      <c r="J12" s="41">
        <f>C12</f>
        <v>0</v>
      </c>
      <c r="K12" s="67">
        <f>D12</f>
        <v>0</v>
      </c>
      <c r="M12" s="4194">
        <v>2015</v>
      </c>
      <c r="N12" s="34" t="s">
        <v>17</v>
      </c>
      <c r="O12" s="41">
        <f t="shared" ref="O12:Q23" si="1">IF($I$6=1,I12,0)</f>
        <v>0</v>
      </c>
      <c r="P12" s="41">
        <f t="shared" si="1"/>
        <v>0</v>
      </c>
      <c r="Q12" s="42">
        <f t="shared" si="1"/>
        <v>0</v>
      </c>
    </row>
    <row r="13" spans="1:18" ht="15.75" customHeight="1">
      <c r="A13" s="23">
        <v>2</v>
      </c>
      <c r="B13" s="43">
        <f t="shared" si="0"/>
        <v>0</v>
      </c>
      <c r="C13" s="123">
        <f t="shared" ref="C13:C76" si="2">IF(B13&gt;0,B13-D13,E13*($B$6/$B$8))</f>
        <v>0</v>
      </c>
      <c r="D13" s="43">
        <f t="shared" ref="D13:D76" si="3">IF(A13&gt;$I$9,B13-(E12*($B$6/$B$8)),0)</f>
        <v>0</v>
      </c>
      <c r="E13" s="68">
        <f t="shared" ref="E13:E76" si="4">IF((E12-D13)&gt;0,E12-D13,0)</f>
        <v>0</v>
      </c>
      <c r="G13" s="4195"/>
      <c r="H13" s="9" t="s">
        <v>18</v>
      </c>
      <c r="I13" s="43">
        <f>IF($B$8=12,B13,0)</f>
        <v>0</v>
      </c>
      <c r="J13" s="43">
        <f>IF($B$8=12,C13,0)</f>
        <v>0</v>
      </c>
      <c r="K13" s="68">
        <f>IF($B$8=12,D13,0)</f>
        <v>0</v>
      </c>
      <c r="M13" s="4195"/>
      <c r="N13" s="9" t="s">
        <v>18</v>
      </c>
      <c r="O13" s="43">
        <f t="shared" si="1"/>
        <v>0</v>
      </c>
      <c r="P13" s="43">
        <f t="shared" si="1"/>
        <v>0</v>
      </c>
      <c r="Q13" s="44">
        <f t="shared" si="1"/>
        <v>0</v>
      </c>
    </row>
    <row r="14" spans="1:18" ht="15.75" customHeight="1">
      <c r="A14" s="23">
        <v>3</v>
      </c>
      <c r="B14" s="43">
        <f t="shared" si="0"/>
        <v>0</v>
      </c>
      <c r="C14" s="123">
        <f t="shared" si="2"/>
        <v>0</v>
      </c>
      <c r="D14" s="43">
        <f t="shared" si="3"/>
        <v>0</v>
      </c>
      <c r="E14" s="68">
        <f t="shared" si="4"/>
        <v>0</v>
      </c>
      <c r="G14" s="4195"/>
      <c r="H14" s="9" t="s">
        <v>19</v>
      </c>
      <c r="I14" s="43">
        <f>IF($B$8=12,B14,IF($B$8=6,B13,0))</f>
        <v>0</v>
      </c>
      <c r="J14" s="43">
        <f>IF($B$8=12,C14,IF($B$8=6,C13,0))</f>
        <v>0</v>
      </c>
      <c r="K14" s="68">
        <f>IF($B$8=12,D14,IF($B$8=6,D13,0))</f>
        <v>0</v>
      </c>
      <c r="M14" s="4195"/>
      <c r="N14" s="9" t="s">
        <v>19</v>
      </c>
      <c r="O14" s="43">
        <f t="shared" si="1"/>
        <v>0</v>
      </c>
      <c r="P14" s="43">
        <f t="shared" si="1"/>
        <v>0</v>
      </c>
      <c r="Q14" s="44">
        <f t="shared" si="1"/>
        <v>0</v>
      </c>
    </row>
    <row r="15" spans="1:18" ht="15.75" customHeight="1">
      <c r="A15" s="23">
        <v>4</v>
      </c>
      <c r="B15" s="43">
        <f t="shared" si="0"/>
        <v>0</v>
      </c>
      <c r="C15" s="123">
        <f t="shared" si="2"/>
        <v>0</v>
      </c>
      <c r="D15" s="43">
        <f t="shared" si="3"/>
        <v>0</v>
      </c>
      <c r="E15" s="68">
        <f t="shared" si="4"/>
        <v>0</v>
      </c>
      <c r="G15" s="4195"/>
      <c r="H15" s="9" t="s">
        <v>20</v>
      </c>
      <c r="I15" s="43">
        <f>IF($B$8=12,B15,IF($B$8=4,B13,IF($B$8=6,0,IF($B$8=3,0,0))))</f>
        <v>0</v>
      </c>
      <c r="J15" s="43">
        <f>IF($B$8=12,C15,IF($B$8=4,C13,IF($B$8=6,0,IF($B$8=3,0,0))))</f>
        <v>0</v>
      </c>
      <c r="K15" s="68">
        <f>IF($B$8=12,D15,IF($B$8=4,D13,IF($B$8=6,0,IF($B$8=3,0,0))))</f>
        <v>0</v>
      </c>
      <c r="M15" s="4195"/>
      <c r="N15" s="9" t="s">
        <v>20</v>
      </c>
      <c r="O15" s="43">
        <f t="shared" si="1"/>
        <v>0</v>
      </c>
      <c r="P15" s="43">
        <f t="shared" si="1"/>
        <v>0</v>
      </c>
      <c r="Q15" s="44">
        <f t="shared" si="1"/>
        <v>0</v>
      </c>
    </row>
    <row r="16" spans="1:18" ht="15.75" customHeight="1">
      <c r="A16" s="23">
        <v>5</v>
      </c>
      <c r="B16" s="43">
        <f t="shared" si="0"/>
        <v>0</v>
      </c>
      <c r="C16" s="123">
        <f t="shared" si="2"/>
        <v>0</v>
      </c>
      <c r="D16" s="43">
        <f t="shared" si="3"/>
        <v>0</v>
      </c>
      <c r="E16" s="68">
        <f t="shared" si="4"/>
        <v>0</v>
      </c>
      <c r="G16" s="4195"/>
      <c r="H16" s="9" t="s">
        <v>21</v>
      </c>
      <c r="I16" s="43">
        <f>IF($B$8=12,B16,IF($B$8=4,0,IF($B$8=6,B14,IF($B$8=3,B13,0))))</f>
        <v>0</v>
      </c>
      <c r="J16" s="43">
        <f>IF($B$8=12,C16,IF($B$8=4,0,IF($B$8=6,C14,IF($B$8=3,C13,0))))</f>
        <v>0</v>
      </c>
      <c r="K16" s="68">
        <f>IF($B$8=12,D16,IF($B$8=4,0,IF($B$8=6,D14,IF($B$8=3,D13,0))))</f>
        <v>0</v>
      </c>
      <c r="M16" s="4195"/>
      <c r="N16" s="9" t="s">
        <v>21</v>
      </c>
      <c r="O16" s="43">
        <f t="shared" si="1"/>
        <v>0</v>
      </c>
      <c r="P16" s="43">
        <f t="shared" si="1"/>
        <v>0</v>
      </c>
      <c r="Q16" s="44">
        <f t="shared" si="1"/>
        <v>0</v>
      </c>
    </row>
    <row r="17" spans="1:17" ht="15.75" customHeight="1">
      <c r="A17" s="23">
        <v>6</v>
      </c>
      <c r="B17" s="43">
        <f t="shared" si="0"/>
        <v>0</v>
      </c>
      <c r="C17" s="123">
        <f t="shared" si="2"/>
        <v>0</v>
      </c>
      <c r="D17" s="43">
        <f t="shared" si="3"/>
        <v>0</v>
      </c>
      <c r="E17" s="68">
        <f t="shared" si="4"/>
        <v>0</v>
      </c>
      <c r="G17" s="4195"/>
      <c r="H17" s="9" t="s">
        <v>22</v>
      </c>
      <c r="I17" s="43">
        <f>IF($B$8=12,B17,IF($B$8=4,0,IF($B$8=6,0,IF($B$8=3,0,0))))</f>
        <v>0</v>
      </c>
      <c r="J17" s="43">
        <f>IF($B$8=12,C17,IF($B$8=4,0,IF($B$8=6,0,IF($B$8=3,0,0))))</f>
        <v>0</v>
      </c>
      <c r="K17" s="68">
        <f>IF($B$8=12,D17,IF($B$8=4,0,IF($B$8=6,0,IF($B$8=3,0,0))))</f>
        <v>0</v>
      </c>
      <c r="M17" s="4195"/>
      <c r="N17" s="9" t="s">
        <v>22</v>
      </c>
      <c r="O17" s="43">
        <f t="shared" si="1"/>
        <v>0</v>
      </c>
      <c r="P17" s="43">
        <f t="shared" si="1"/>
        <v>0</v>
      </c>
      <c r="Q17" s="44">
        <f t="shared" si="1"/>
        <v>0</v>
      </c>
    </row>
    <row r="18" spans="1:17" ht="15.75" customHeight="1">
      <c r="A18" s="23">
        <v>7</v>
      </c>
      <c r="B18" s="43">
        <f t="shared" si="0"/>
        <v>0</v>
      </c>
      <c r="C18" s="123">
        <f t="shared" si="2"/>
        <v>0</v>
      </c>
      <c r="D18" s="43">
        <f t="shared" si="3"/>
        <v>0</v>
      </c>
      <c r="E18" s="68">
        <f t="shared" si="4"/>
        <v>0</v>
      </c>
      <c r="G18" s="4195"/>
      <c r="H18" s="9" t="s">
        <v>23</v>
      </c>
      <c r="I18" s="43">
        <f>IF($B$8=12,B18,IF($B$8=4,B14,IF($B$8=6,B15,IF($B$8=3,0,IF($B$8=2,B13,0)))))</f>
        <v>0</v>
      </c>
      <c r="J18" s="43">
        <f>IF($B$8=12,C18,IF($B$8=4,C14,IF($B$8=6,C15,IF($B$8=3,0,IF($B$8=2,C13,0)))))</f>
        <v>0</v>
      </c>
      <c r="K18" s="68">
        <f>IF($B$8=12,D18,IF($B$8=4,D14,IF($B$8=6,D15,IF($B$8=3,0,IF($B$8=2,D13,0)))))</f>
        <v>0</v>
      </c>
      <c r="M18" s="4195"/>
      <c r="N18" s="9" t="s">
        <v>23</v>
      </c>
      <c r="O18" s="43">
        <f t="shared" si="1"/>
        <v>0</v>
      </c>
      <c r="P18" s="43">
        <f t="shared" si="1"/>
        <v>0</v>
      </c>
      <c r="Q18" s="44">
        <f t="shared" si="1"/>
        <v>0</v>
      </c>
    </row>
    <row r="19" spans="1:17" ht="15.75" customHeight="1">
      <c r="A19" s="23">
        <v>8</v>
      </c>
      <c r="B19" s="43">
        <f t="shared" si="0"/>
        <v>0</v>
      </c>
      <c r="C19" s="123">
        <f t="shared" si="2"/>
        <v>0</v>
      </c>
      <c r="D19" s="43">
        <f t="shared" si="3"/>
        <v>0</v>
      </c>
      <c r="E19" s="68">
        <f t="shared" si="4"/>
        <v>0</v>
      </c>
      <c r="G19" s="4195"/>
      <c r="H19" s="9" t="s">
        <v>24</v>
      </c>
      <c r="I19" s="43">
        <f>IF($B$8=12,B19,IF($B$8=4,0,IF($B$8=6,0,IF($B$8=3,0,0))))</f>
        <v>0</v>
      </c>
      <c r="J19" s="43">
        <f>IF($B$8=12,C19,IF($B$8=4,0,IF($B$8=6,0,IF($B$8=3,0,0))))</f>
        <v>0</v>
      </c>
      <c r="K19" s="68">
        <f>IF($B$8=12,D19,IF($B$8=4,0,IF($B$8=6,0,IF($B$8=3,0,0))))</f>
        <v>0</v>
      </c>
      <c r="M19" s="4195"/>
      <c r="N19" s="9" t="s">
        <v>24</v>
      </c>
      <c r="O19" s="43">
        <f t="shared" si="1"/>
        <v>0</v>
      </c>
      <c r="P19" s="43">
        <f t="shared" si="1"/>
        <v>0</v>
      </c>
      <c r="Q19" s="44">
        <f t="shared" si="1"/>
        <v>0</v>
      </c>
    </row>
    <row r="20" spans="1:17" ht="15.75" customHeight="1">
      <c r="A20" s="23">
        <v>9</v>
      </c>
      <c r="B20" s="43">
        <f t="shared" si="0"/>
        <v>0</v>
      </c>
      <c r="C20" s="123">
        <f t="shared" si="2"/>
        <v>0</v>
      </c>
      <c r="D20" s="43">
        <f t="shared" si="3"/>
        <v>0</v>
      </c>
      <c r="E20" s="68">
        <f t="shared" si="4"/>
        <v>0</v>
      </c>
      <c r="G20" s="4195"/>
      <c r="H20" s="9" t="s">
        <v>25</v>
      </c>
      <c r="I20" s="43">
        <f>IF($B$8=12,B20,IF($B$8=4,0,IF($B$8=6,B16,IF($B$8=3,B14,0))))</f>
        <v>0</v>
      </c>
      <c r="J20" s="43">
        <f>IF($B$8=12,C20,IF($B$8=4,0,IF($B$8=6,C16,IF($B$8=3,C14,0))))</f>
        <v>0</v>
      </c>
      <c r="K20" s="68">
        <f>IF($B$8=12,D20,IF($B$8=4,0,IF($B$8=6,D16,IF($B$8=3,D14,0))))</f>
        <v>0</v>
      </c>
      <c r="M20" s="4195"/>
      <c r="N20" s="9" t="s">
        <v>25</v>
      </c>
      <c r="O20" s="43">
        <f t="shared" si="1"/>
        <v>0</v>
      </c>
      <c r="P20" s="43">
        <f t="shared" si="1"/>
        <v>0</v>
      </c>
      <c r="Q20" s="44">
        <f t="shared" si="1"/>
        <v>0</v>
      </c>
    </row>
    <row r="21" spans="1:17" ht="15.75" customHeight="1">
      <c r="A21" s="23">
        <v>10</v>
      </c>
      <c r="B21" s="43">
        <f t="shared" si="0"/>
        <v>0</v>
      </c>
      <c r="C21" s="123">
        <f t="shared" si="2"/>
        <v>0</v>
      </c>
      <c r="D21" s="43">
        <f t="shared" si="3"/>
        <v>0</v>
      </c>
      <c r="E21" s="68">
        <f t="shared" si="4"/>
        <v>0</v>
      </c>
      <c r="G21" s="4195"/>
      <c r="H21" s="9" t="s">
        <v>26</v>
      </c>
      <c r="I21" s="43">
        <f>IF($B$8=12,B21,IF($B$8=4,B15,IF($B$8=6,0,IF($B$8=3,0,0))))</f>
        <v>0</v>
      </c>
      <c r="J21" s="43">
        <f>IF($B$8=12,C21,IF($B$8=4,C15,IF($B$8=6,0,IF($B$8=3,0,0))))</f>
        <v>0</v>
      </c>
      <c r="K21" s="68">
        <f>IF($B$8=12,D21,IF($B$8=4,D15,IF($B$8=6,0,IF($B$8=3,0,0))))</f>
        <v>0</v>
      </c>
      <c r="M21" s="4195"/>
      <c r="N21" s="9" t="s">
        <v>26</v>
      </c>
      <c r="O21" s="43">
        <f t="shared" si="1"/>
        <v>0</v>
      </c>
      <c r="P21" s="43">
        <f t="shared" si="1"/>
        <v>0</v>
      </c>
      <c r="Q21" s="44">
        <f t="shared" si="1"/>
        <v>0</v>
      </c>
    </row>
    <row r="22" spans="1:17" ht="15.75" customHeight="1">
      <c r="A22" s="23">
        <v>11</v>
      </c>
      <c r="B22" s="43">
        <f t="shared" si="0"/>
        <v>0</v>
      </c>
      <c r="C22" s="123">
        <f t="shared" si="2"/>
        <v>0</v>
      </c>
      <c r="D22" s="43">
        <f t="shared" si="3"/>
        <v>0</v>
      </c>
      <c r="E22" s="68">
        <f t="shared" si="4"/>
        <v>0</v>
      </c>
      <c r="G22" s="4195"/>
      <c r="H22" s="9" t="s">
        <v>27</v>
      </c>
      <c r="I22" s="43">
        <f>IF($B$8=12,B22,IF($B$8=4,0,IF($B$8=6,B17,IF($B$8=3,0,0))))</f>
        <v>0</v>
      </c>
      <c r="J22" s="43">
        <f>IF($B$8=12,C22,IF($B$8=4,0,IF($B$8=6,C17,IF($B$8=3,0,0))))</f>
        <v>0</v>
      </c>
      <c r="K22" s="68">
        <f>IF($B$8=12,D22,IF($B$8=4,0,IF($B$8=6,D17,IF($B$8=3,0,0))))</f>
        <v>0</v>
      </c>
      <c r="M22" s="4195"/>
      <c r="N22" s="9" t="s">
        <v>27</v>
      </c>
      <c r="O22" s="43">
        <f t="shared" si="1"/>
        <v>0</v>
      </c>
      <c r="P22" s="43">
        <f t="shared" si="1"/>
        <v>0</v>
      </c>
      <c r="Q22" s="44">
        <f t="shared" si="1"/>
        <v>0</v>
      </c>
    </row>
    <row r="23" spans="1:17" ht="15.75" customHeight="1" thickBot="1">
      <c r="A23" s="24">
        <v>12</v>
      </c>
      <c r="B23" s="70">
        <f t="shared" si="0"/>
        <v>0</v>
      </c>
      <c r="C23" s="139">
        <f t="shared" si="2"/>
        <v>0</v>
      </c>
      <c r="D23" s="70">
        <f t="shared" si="3"/>
        <v>0</v>
      </c>
      <c r="E23" s="75">
        <f t="shared" si="4"/>
        <v>0</v>
      </c>
      <c r="G23" s="4196"/>
      <c r="H23" s="37" t="s">
        <v>28</v>
      </c>
      <c r="I23" s="70">
        <f>IF($B$8=12,B23,IF($B$8=4,0,IF($B$8=6,0,IF($B$8=3,0,0))))</f>
        <v>0</v>
      </c>
      <c r="J23" s="70">
        <f>IF($B$8=12,C23,IF($B$8=4,0,IF($B$8=6,0,IF($B$8=3,0,0))))</f>
        <v>0</v>
      </c>
      <c r="K23" s="72">
        <f>IF($B$8=12,D23,IF($B$8=4,0,IF($B$8=6,0,IF($B$8=3,0,0))))</f>
        <v>0</v>
      </c>
      <c r="M23" s="4196"/>
      <c r="N23" s="35" t="s">
        <v>28</v>
      </c>
      <c r="O23" s="45">
        <f t="shared" si="1"/>
        <v>0</v>
      </c>
      <c r="P23" s="45">
        <f t="shared" si="1"/>
        <v>0</v>
      </c>
      <c r="Q23" s="46">
        <f t="shared" si="1"/>
        <v>0</v>
      </c>
    </row>
    <row r="24" spans="1:17" ht="15.75" customHeight="1">
      <c r="A24" s="23">
        <v>13</v>
      </c>
      <c r="B24" s="43">
        <f t="shared" si="0"/>
        <v>0</v>
      </c>
      <c r="C24" s="123">
        <f t="shared" si="2"/>
        <v>0</v>
      </c>
      <c r="D24" s="43">
        <f t="shared" si="3"/>
        <v>0</v>
      </c>
      <c r="E24" s="68">
        <f t="shared" si="4"/>
        <v>0</v>
      </c>
      <c r="G24" s="4197">
        <v>2016</v>
      </c>
      <c r="H24" s="22" t="s">
        <v>17</v>
      </c>
      <c r="I24" s="43">
        <f>IF($B$8=12,B24,IF($B$8=4,B16,IF($B$8=6,B18,IF($B$8=3,B15,IF($B$8=2,B14,IF($B$8,B13,0))))))</f>
        <v>0</v>
      </c>
      <c r="J24" s="43">
        <f>IF($B$8=12,C24,IF($B$8=4,C16,IF($B$8=6,C18,IF($B$8=3,C15,IF($B$8=2,C14,IF($B$8,C13,0))))))</f>
        <v>0</v>
      </c>
      <c r="K24" s="68">
        <f>IF($B$8=12,D24,IF($B$8=4,D16,IF($B$8=6,D18,IF($B$8=3,D15,IF($B$8=2,D14,IF($B$8,D13,0))))))</f>
        <v>0</v>
      </c>
      <c r="M24" s="4194">
        <v>2016</v>
      </c>
      <c r="N24" s="9" t="s">
        <v>17</v>
      </c>
      <c r="O24" s="43">
        <f t="shared" ref="O24:Q35" si="5">IF($I$6=2,I12,IF($I$6=1,I24,0))</f>
        <v>0</v>
      </c>
      <c r="P24" s="43">
        <f t="shared" si="5"/>
        <v>0</v>
      </c>
      <c r="Q24" s="44">
        <f t="shared" si="5"/>
        <v>0</v>
      </c>
    </row>
    <row r="25" spans="1:17" ht="15.75" customHeight="1">
      <c r="A25" s="23">
        <v>14</v>
      </c>
      <c r="B25" s="43">
        <f t="shared" si="0"/>
        <v>0</v>
      </c>
      <c r="C25" s="123">
        <f t="shared" si="2"/>
        <v>0</v>
      </c>
      <c r="D25" s="43">
        <f t="shared" si="3"/>
        <v>0</v>
      </c>
      <c r="E25" s="68">
        <f t="shared" si="4"/>
        <v>0</v>
      </c>
      <c r="G25" s="4198"/>
      <c r="H25" s="22" t="s">
        <v>18</v>
      </c>
      <c r="I25" s="43">
        <f>IF($B$8=12,B25,0)</f>
        <v>0</v>
      </c>
      <c r="J25" s="43">
        <f>IF($B$8=12,C25,0)</f>
        <v>0</v>
      </c>
      <c r="K25" s="68">
        <f>IF($B$8=12,D25,0)</f>
        <v>0</v>
      </c>
      <c r="M25" s="4195"/>
      <c r="N25" s="9" t="s">
        <v>18</v>
      </c>
      <c r="O25" s="43">
        <f t="shared" si="5"/>
        <v>0</v>
      </c>
      <c r="P25" s="43">
        <f t="shared" si="5"/>
        <v>0</v>
      </c>
      <c r="Q25" s="44">
        <f t="shared" si="5"/>
        <v>0</v>
      </c>
    </row>
    <row r="26" spans="1:17" ht="15.75" customHeight="1">
      <c r="A26" s="23">
        <v>15</v>
      </c>
      <c r="B26" s="43">
        <f t="shared" si="0"/>
        <v>0</v>
      </c>
      <c r="C26" s="123">
        <f t="shared" si="2"/>
        <v>0</v>
      </c>
      <c r="D26" s="43">
        <f t="shared" si="3"/>
        <v>0</v>
      </c>
      <c r="E26" s="68">
        <f t="shared" si="4"/>
        <v>0</v>
      </c>
      <c r="G26" s="4198"/>
      <c r="H26" s="22" t="s">
        <v>19</v>
      </c>
      <c r="I26" s="43">
        <f>IF($B$8=12,B26,IF($B$8=6,B19,0))</f>
        <v>0</v>
      </c>
      <c r="J26" s="43">
        <f>IF($B$8=12,C26,IF($B$8=6,C19,0))</f>
        <v>0</v>
      </c>
      <c r="K26" s="68">
        <f>IF($B$8=12,D26,IF($B$8=6,D19,0))</f>
        <v>0</v>
      </c>
      <c r="M26" s="4195"/>
      <c r="N26" s="9" t="s">
        <v>19</v>
      </c>
      <c r="O26" s="43">
        <f t="shared" si="5"/>
        <v>0</v>
      </c>
      <c r="P26" s="43">
        <f t="shared" si="5"/>
        <v>0</v>
      </c>
      <c r="Q26" s="44">
        <f t="shared" si="5"/>
        <v>0</v>
      </c>
    </row>
    <row r="27" spans="1:17" ht="15.75" customHeight="1">
      <c r="A27" s="23">
        <v>16</v>
      </c>
      <c r="B27" s="43">
        <f t="shared" si="0"/>
        <v>0</v>
      </c>
      <c r="C27" s="123">
        <f t="shared" si="2"/>
        <v>0</v>
      </c>
      <c r="D27" s="43">
        <f t="shared" si="3"/>
        <v>0</v>
      </c>
      <c r="E27" s="68">
        <f t="shared" si="4"/>
        <v>0</v>
      </c>
      <c r="G27" s="4198"/>
      <c r="H27" s="22" t="s">
        <v>20</v>
      </c>
      <c r="I27" s="43">
        <f>IF($B$8=12,B27,IF($B$8=4,B17,IF($B$8=6,0,IF($B$8=3,0,0))))</f>
        <v>0</v>
      </c>
      <c r="J27" s="43">
        <f>IF($B$8=12,C27,IF($B$8=4,C17,IF($B$8=6,0,IF($B$8=3,0,0))))</f>
        <v>0</v>
      </c>
      <c r="K27" s="68">
        <f>IF($B$8=12,D27,IF($B$8=4,D17,IF($B$8=6,0,IF($B$8=3,0,0))))</f>
        <v>0</v>
      </c>
      <c r="M27" s="4195"/>
      <c r="N27" s="9" t="s">
        <v>20</v>
      </c>
      <c r="O27" s="43">
        <f t="shared" si="5"/>
        <v>0</v>
      </c>
      <c r="P27" s="43">
        <f t="shared" si="5"/>
        <v>0</v>
      </c>
      <c r="Q27" s="44">
        <f t="shared" si="5"/>
        <v>0</v>
      </c>
    </row>
    <row r="28" spans="1:17" ht="15.75" customHeight="1">
      <c r="A28" s="23">
        <v>17</v>
      </c>
      <c r="B28" s="43">
        <f t="shared" si="0"/>
        <v>0</v>
      </c>
      <c r="C28" s="123">
        <f t="shared" si="2"/>
        <v>0</v>
      </c>
      <c r="D28" s="43">
        <f t="shared" si="3"/>
        <v>0</v>
      </c>
      <c r="E28" s="68">
        <f t="shared" si="4"/>
        <v>0</v>
      </c>
      <c r="G28" s="4198"/>
      <c r="H28" s="22" t="s">
        <v>21</v>
      </c>
      <c r="I28" s="43">
        <f>IF($B$8=12,B28,IF($B$8=4,0,IF($B$8=6,B20,IF($B$8=3,B16,0))))</f>
        <v>0</v>
      </c>
      <c r="J28" s="43">
        <f>IF($B$8=12,C28,IF($B$8=4,0,IF($B$8=6,C20,IF($B$8=3,C16,0))))</f>
        <v>0</v>
      </c>
      <c r="K28" s="68">
        <f>IF($B$8=12,D28,IF($B$8=4,0,IF($B$8=6,D20,IF($B$8=3,D16,0))))</f>
        <v>0</v>
      </c>
      <c r="M28" s="4195"/>
      <c r="N28" s="9" t="s">
        <v>21</v>
      </c>
      <c r="O28" s="43">
        <f t="shared" si="5"/>
        <v>0</v>
      </c>
      <c r="P28" s="43">
        <f t="shared" si="5"/>
        <v>0</v>
      </c>
      <c r="Q28" s="44">
        <f t="shared" si="5"/>
        <v>0</v>
      </c>
    </row>
    <row r="29" spans="1:17" ht="15.75" customHeight="1">
      <c r="A29" s="23">
        <v>18</v>
      </c>
      <c r="B29" s="43">
        <f t="shared" si="0"/>
        <v>0</v>
      </c>
      <c r="C29" s="123">
        <f t="shared" si="2"/>
        <v>0</v>
      </c>
      <c r="D29" s="43">
        <f t="shared" si="3"/>
        <v>0</v>
      </c>
      <c r="E29" s="68">
        <f t="shared" si="4"/>
        <v>0</v>
      </c>
      <c r="G29" s="4198"/>
      <c r="H29" s="22" t="s">
        <v>22</v>
      </c>
      <c r="I29" s="43">
        <f>IF($B$8=12,B29,IF($B$8=4,0,IF($B$8=6,0,IF($B$8=3,0,0))))</f>
        <v>0</v>
      </c>
      <c r="J29" s="43">
        <f>IF($B$8=12,C29,IF($B$8=4,0,IF($B$8=6,0,IF($B$8=3,0,0))))</f>
        <v>0</v>
      </c>
      <c r="K29" s="68">
        <f>IF($B$8=12,D29,IF($B$8=4,0,IF($B$8=6,0,IF($B$8=3,0,0))))</f>
        <v>0</v>
      </c>
      <c r="M29" s="4195"/>
      <c r="N29" s="9" t="s">
        <v>22</v>
      </c>
      <c r="O29" s="43">
        <f t="shared" si="5"/>
        <v>0</v>
      </c>
      <c r="P29" s="43">
        <f t="shared" si="5"/>
        <v>0</v>
      </c>
      <c r="Q29" s="44">
        <f t="shared" si="5"/>
        <v>0</v>
      </c>
    </row>
    <row r="30" spans="1:17" ht="15.75" customHeight="1">
      <c r="A30" s="23">
        <v>19</v>
      </c>
      <c r="B30" s="43">
        <f t="shared" si="0"/>
        <v>0</v>
      </c>
      <c r="C30" s="123">
        <f t="shared" si="2"/>
        <v>0</v>
      </c>
      <c r="D30" s="43">
        <f t="shared" si="3"/>
        <v>0</v>
      </c>
      <c r="E30" s="68">
        <f t="shared" si="4"/>
        <v>0</v>
      </c>
      <c r="G30" s="4198"/>
      <c r="H30" s="22" t="s">
        <v>23</v>
      </c>
      <c r="I30" s="43">
        <f>IF($B$8=12,B30,IF($B$8=4,B18,IF($B$8=6,B21,IF($B$8=3,0,IF($B$8=2,B15,0)))))</f>
        <v>0</v>
      </c>
      <c r="J30" s="43">
        <f>IF($B$8=12,C30,IF($B$8=4,C18,IF($B$8=6,C21,IF($B$8=3,0,IF($B$8=2,C15,0)))))</f>
        <v>0</v>
      </c>
      <c r="K30" s="68">
        <f>IF($B$8=12,D30,IF($B$8=4,D18,IF($B$8=6,D21,IF($B$8=3,0,IF($B$8=2,D15,0)))))</f>
        <v>0</v>
      </c>
      <c r="M30" s="4195"/>
      <c r="N30" s="9" t="s">
        <v>23</v>
      </c>
      <c r="O30" s="43">
        <f t="shared" si="5"/>
        <v>0</v>
      </c>
      <c r="P30" s="43">
        <f t="shared" si="5"/>
        <v>0</v>
      </c>
      <c r="Q30" s="44">
        <f t="shared" si="5"/>
        <v>0</v>
      </c>
    </row>
    <row r="31" spans="1:17" ht="15.75" customHeight="1">
      <c r="A31" s="23">
        <v>20</v>
      </c>
      <c r="B31" s="43">
        <f t="shared" si="0"/>
        <v>0</v>
      </c>
      <c r="C31" s="123">
        <f t="shared" si="2"/>
        <v>0</v>
      </c>
      <c r="D31" s="43">
        <f t="shared" si="3"/>
        <v>0</v>
      </c>
      <c r="E31" s="68">
        <f t="shared" si="4"/>
        <v>0</v>
      </c>
      <c r="G31" s="4198"/>
      <c r="H31" s="22" t="s">
        <v>24</v>
      </c>
      <c r="I31" s="43">
        <f>IF($B$8=12,B31,IF($B$8=4,0,IF($B$8=6,0,IF($B$8=3,0,0))))</f>
        <v>0</v>
      </c>
      <c r="J31" s="43">
        <f>IF($B$8=12,C31,IF($B$8=4,0,IF($B$8=6,0,IF($B$8=3,0,0))))</f>
        <v>0</v>
      </c>
      <c r="K31" s="68">
        <f>IF($B$8=12,D31,IF($B$8=4,0,IF($B$8=6,0,IF($B$8=3,0,0))))</f>
        <v>0</v>
      </c>
      <c r="M31" s="4195"/>
      <c r="N31" s="9" t="s">
        <v>24</v>
      </c>
      <c r="O31" s="43">
        <f t="shared" si="5"/>
        <v>0</v>
      </c>
      <c r="P31" s="43">
        <f t="shared" si="5"/>
        <v>0</v>
      </c>
      <c r="Q31" s="44">
        <f t="shared" si="5"/>
        <v>0</v>
      </c>
    </row>
    <row r="32" spans="1:17" ht="15.75" customHeight="1">
      <c r="A32" s="23">
        <v>21</v>
      </c>
      <c r="B32" s="43">
        <f t="shared" si="0"/>
        <v>0</v>
      </c>
      <c r="C32" s="123">
        <f t="shared" si="2"/>
        <v>0</v>
      </c>
      <c r="D32" s="43">
        <f t="shared" si="3"/>
        <v>0</v>
      </c>
      <c r="E32" s="68">
        <f t="shared" si="4"/>
        <v>0</v>
      </c>
      <c r="G32" s="4198"/>
      <c r="H32" s="22" t="s">
        <v>25</v>
      </c>
      <c r="I32" s="43">
        <f>IF($B$8=12,B32,IF($B$8=4,0,IF($B$8=6,B22,IF($B$8=3,B17,0))))</f>
        <v>0</v>
      </c>
      <c r="J32" s="43">
        <f>IF($B$8=12,C32,IF($B$8=4,0,IF($B$8=6,C22,IF($B$8=3,C17,0))))</f>
        <v>0</v>
      </c>
      <c r="K32" s="68">
        <f>IF($B$8=12,D32,IF($B$8=4,0,IF($B$8=6,D22,IF($B$8=3,D17,0))))</f>
        <v>0</v>
      </c>
      <c r="M32" s="4195"/>
      <c r="N32" s="9" t="s">
        <v>25</v>
      </c>
      <c r="O32" s="43">
        <f t="shared" si="5"/>
        <v>0</v>
      </c>
      <c r="P32" s="43">
        <f t="shared" si="5"/>
        <v>0</v>
      </c>
      <c r="Q32" s="44">
        <f t="shared" si="5"/>
        <v>0</v>
      </c>
    </row>
    <row r="33" spans="1:17" ht="15.75" customHeight="1">
      <c r="A33" s="23">
        <v>22</v>
      </c>
      <c r="B33" s="43">
        <f t="shared" si="0"/>
        <v>0</v>
      </c>
      <c r="C33" s="123">
        <f t="shared" si="2"/>
        <v>0</v>
      </c>
      <c r="D33" s="43">
        <f t="shared" si="3"/>
        <v>0</v>
      </c>
      <c r="E33" s="68">
        <f t="shared" si="4"/>
        <v>0</v>
      </c>
      <c r="G33" s="4198"/>
      <c r="H33" s="22" t="s">
        <v>26</v>
      </c>
      <c r="I33" s="43">
        <f>IF($B$8=12,B33,IF($B$8=4,B19,IF($B$8=6,0,IF($B$8=3,0,0))))</f>
        <v>0</v>
      </c>
      <c r="J33" s="43">
        <f>IF($B$8=12,C33,IF($B$8=4,C19,IF($B$8=6,0,IF($B$8=3,0,0))))</f>
        <v>0</v>
      </c>
      <c r="K33" s="68">
        <f>IF($B$8=12,D33,IF($B$8=4,D19,IF($B$8=6,0,IF($B$8=3,0,0))))</f>
        <v>0</v>
      </c>
      <c r="M33" s="4195"/>
      <c r="N33" s="9" t="s">
        <v>26</v>
      </c>
      <c r="O33" s="43">
        <f t="shared" si="5"/>
        <v>0</v>
      </c>
      <c r="P33" s="43">
        <f t="shared" si="5"/>
        <v>0</v>
      </c>
      <c r="Q33" s="44">
        <f t="shared" si="5"/>
        <v>0</v>
      </c>
    </row>
    <row r="34" spans="1:17" ht="15.75" customHeight="1">
      <c r="A34" s="23">
        <v>23</v>
      </c>
      <c r="B34" s="43">
        <f t="shared" si="0"/>
        <v>0</v>
      </c>
      <c r="C34" s="123">
        <f t="shared" si="2"/>
        <v>0</v>
      </c>
      <c r="D34" s="43">
        <f t="shared" si="3"/>
        <v>0</v>
      </c>
      <c r="E34" s="68">
        <f t="shared" si="4"/>
        <v>0</v>
      </c>
      <c r="G34" s="4198"/>
      <c r="H34" s="22" t="s">
        <v>27</v>
      </c>
      <c r="I34" s="43">
        <f>IF($B$8=12,B34,IF($B$8=4,0,IF($B$8=6,B23,IF($B$8=3,0,0))))</f>
        <v>0</v>
      </c>
      <c r="J34" s="43">
        <f>IF($B$8=12,C34,IF($B$8=4,0,IF($B$8=6,C23,IF($B$8=3,0,0))))</f>
        <v>0</v>
      </c>
      <c r="K34" s="68">
        <f>IF($B$8=12,D34,IF($B$8=4,0,IF($B$8=6,D23,IF($B$8=3,0,0))))</f>
        <v>0</v>
      </c>
      <c r="M34" s="4195"/>
      <c r="N34" s="9" t="s">
        <v>27</v>
      </c>
      <c r="O34" s="43">
        <f t="shared" si="5"/>
        <v>0</v>
      </c>
      <c r="P34" s="43">
        <f t="shared" si="5"/>
        <v>0</v>
      </c>
      <c r="Q34" s="44">
        <f t="shared" si="5"/>
        <v>0</v>
      </c>
    </row>
    <row r="35" spans="1:17" ht="15.75" customHeight="1" thickBot="1">
      <c r="A35" s="24">
        <v>24</v>
      </c>
      <c r="B35" s="70">
        <f t="shared" si="0"/>
        <v>0</v>
      </c>
      <c r="C35" s="139">
        <f t="shared" si="2"/>
        <v>0</v>
      </c>
      <c r="D35" s="70">
        <f t="shared" si="3"/>
        <v>0</v>
      </c>
      <c r="E35" s="75">
        <f t="shared" si="4"/>
        <v>0</v>
      </c>
      <c r="G35" s="4199"/>
      <c r="H35" s="25" t="s">
        <v>28</v>
      </c>
      <c r="I35" s="70">
        <f>IF($B$8=12,B35,IF($B$8=4,0,IF($B$8=6,0,IF($B$8=3,0,0))))</f>
        <v>0</v>
      </c>
      <c r="J35" s="70">
        <f>IF($B$8=12,C35,IF($B$8=4,0,IF($B$8=6,0,IF($B$8=3,0,0))))</f>
        <v>0</v>
      </c>
      <c r="K35" s="72">
        <f>IF($B$8=12,D35,IF($B$8=4,0,IF($B$8=6,0,IF($B$8=3,0,0))))</f>
        <v>0</v>
      </c>
      <c r="M35" s="4196"/>
      <c r="N35" s="35" t="s">
        <v>28</v>
      </c>
      <c r="O35" s="43">
        <f t="shared" si="5"/>
        <v>0</v>
      </c>
      <c r="P35" s="43">
        <f t="shared" si="5"/>
        <v>0</v>
      </c>
      <c r="Q35" s="46">
        <f t="shared" si="5"/>
        <v>0</v>
      </c>
    </row>
    <row r="36" spans="1:17" ht="15.75" customHeight="1">
      <c r="A36" s="23">
        <v>25</v>
      </c>
      <c r="B36" s="43">
        <f t="shared" si="0"/>
        <v>0</v>
      </c>
      <c r="C36" s="123">
        <f t="shared" si="2"/>
        <v>0</v>
      </c>
      <c r="D36" s="43">
        <f t="shared" si="3"/>
        <v>0</v>
      </c>
      <c r="E36" s="68">
        <f t="shared" si="4"/>
        <v>0</v>
      </c>
      <c r="G36" s="4197">
        <v>2017</v>
      </c>
      <c r="H36" s="22" t="s">
        <v>17</v>
      </c>
      <c r="I36" s="43">
        <f>IF($B$8=12,B36,IF($B$8=4,B20,IF($B$8=6,B24,IF($B$8=3,B18,IF($B$8=2,B16,IF($B$8=1,B14,0))))))</f>
        <v>0</v>
      </c>
      <c r="J36" s="43">
        <f>IF($B$8=12,C36,IF($B$8=4,C20,IF($B$8=6,C24,IF($B$8=3,C18,IF($B$8=2,C16,IF($B$8=1,C14,0))))))</f>
        <v>0</v>
      </c>
      <c r="K36" s="68">
        <f>IF($B$8=12,D36,IF($B$8=4,D20,IF($B$8=6,D24,IF($B$8=3,D18,IF($B$8=2,D16,IF($B$8=1,D14,0))))))</f>
        <v>0</v>
      </c>
      <c r="M36" s="4194">
        <v>2017</v>
      </c>
      <c r="N36" s="9" t="s">
        <v>17</v>
      </c>
      <c r="O36" s="76">
        <f t="shared" ref="O36:Q47" si="6">IF($I$6=3,I12,IF($I$6=2,I24,IF($I$6=1,I36,0)))</f>
        <v>0</v>
      </c>
      <c r="P36" s="76">
        <f t="shared" si="6"/>
        <v>0</v>
      </c>
      <c r="Q36" s="77">
        <f t="shared" si="6"/>
        <v>0</v>
      </c>
    </row>
    <row r="37" spans="1:17" ht="15.75" customHeight="1">
      <c r="A37" s="23">
        <v>26</v>
      </c>
      <c r="B37" s="43">
        <f t="shared" si="0"/>
        <v>0</v>
      </c>
      <c r="C37" s="123">
        <f t="shared" si="2"/>
        <v>0</v>
      </c>
      <c r="D37" s="43">
        <f t="shared" si="3"/>
        <v>0</v>
      </c>
      <c r="E37" s="68">
        <f t="shared" si="4"/>
        <v>0</v>
      </c>
      <c r="G37" s="4198"/>
      <c r="H37" s="22" t="s">
        <v>18</v>
      </c>
      <c r="I37" s="43">
        <f>IF($B$8=12,B37,0)</f>
        <v>0</v>
      </c>
      <c r="J37" s="43">
        <f>IF($B$8=12,C37,0)</f>
        <v>0</v>
      </c>
      <c r="K37" s="68">
        <f>IF($B$8=12,D37,0)</f>
        <v>0</v>
      </c>
      <c r="M37" s="4195"/>
      <c r="N37" s="9" t="s">
        <v>18</v>
      </c>
      <c r="O37" s="43">
        <f t="shared" si="6"/>
        <v>0</v>
      </c>
      <c r="P37" s="43">
        <f t="shared" si="6"/>
        <v>0</v>
      </c>
      <c r="Q37" s="44">
        <f t="shared" si="6"/>
        <v>0</v>
      </c>
    </row>
    <row r="38" spans="1:17" ht="15.75" customHeight="1">
      <c r="A38" s="23">
        <v>27</v>
      </c>
      <c r="B38" s="43">
        <f t="shared" si="0"/>
        <v>0</v>
      </c>
      <c r="C38" s="123">
        <f t="shared" si="2"/>
        <v>0</v>
      </c>
      <c r="D38" s="43">
        <f t="shared" si="3"/>
        <v>0</v>
      </c>
      <c r="E38" s="68">
        <f t="shared" si="4"/>
        <v>0</v>
      </c>
      <c r="G38" s="4198"/>
      <c r="H38" s="22" t="s">
        <v>19</v>
      </c>
      <c r="I38" s="43">
        <f>IF($B$8=12,B38,IF($B$8=6,B25,0))</f>
        <v>0</v>
      </c>
      <c r="J38" s="43">
        <f>IF($B$8=12,C38,IF($B$8=6,C25,0))</f>
        <v>0</v>
      </c>
      <c r="K38" s="68">
        <f>IF($B$8=12,D38,IF($B$8=6,D25,0))</f>
        <v>0</v>
      </c>
      <c r="M38" s="4195"/>
      <c r="N38" s="9" t="s">
        <v>19</v>
      </c>
      <c r="O38" s="43">
        <f t="shared" si="6"/>
        <v>0</v>
      </c>
      <c r="P38" s="43">
        <f t="shared" si="6"/>
        <v>0</v>
      </c>
      <c r="Q38" s="44">
        <f t="shared" si="6"/>
        <v>0</v>
      </c>
    </row>
    <row r="39" spans="1:17" ht="15.75" customHeight="1">
      <c r="A39" s="23">
        <v>28</v>
      </c>
      <c r="B39" s="43">
        <f t="shared" si="0"/>
        <v>0</v>
      </c>
      <c r="C39" s="123">
        <f t="shared" si="2"/>
        <v>0</v>
      </c>
      <c r="D39" s="43">
        <f t="shared" si="3"/>
        <v>0</v>
      </c>
      <c r="E39" s="68">
        <f t="shared" si="4"/>
        <v>0</v>
      </c>
      <c r="G39" s="4198"/>
      <c r="H39" s="22" t="s">
        <v>20</v>
      </c>
      <c r="I39" s="43">
        <f>IF($B$8=12,B39,IF($B$8=4,B21,IF($B$8=6,0,IF($B$8=3,0,0))))</f>
        <v>0</v>
      </c>
      <c r="J39" s="43">
        <f>IF($B$8=12,C39,IF($B$8=4,C21,IF($B$8=6,0,IF($B$8=3,0,0))))</f>
        <v>0</v>
      </c>
      <c r="K39" s="68">
        <f>IF($B$8=12,D39,IF($B$8=4,D21,IF($B$8=6,0,IF($B$8=3,0,0))))</f>
        <v>0</v>
      </c>
      <c r="M39" s="4195"/>
      <c r="N39" s="9" t="s">
        <v>20</v>
      </c>
      <c r="O39" s="43">
        <f t="shared" si="6"/>
        <v>0</v>
      </c>
      <c r="P39" s="43">
        <f t="shared" si="6"/>
        <v>0</v>
      </c>
      <c r="Q39" s="44">
        <f t="shared" si="6"/>
        <v>0</v>
      </c>
    </row>
    <row r="40" spans="1:17" ht="15.75" customHeight="1">
      <c r="A40" s="23">
        <v>29</v>
      </c>
      <c r="B40" s="43">
        <f t="shared" si="0"/>
        <v>0</v>
      </c>
      <c r="C40" s="123">
        <f t="shared" si="2"/>
        <v>0</v>
      </c>
      <c r="D40" s="43">
        <f t="shared" si="3"/>
        <v>0</v>
      </c>
      <c r="E40" s="68">
        <f t="shared" si="4"/>
        <v>0</v>
      </c>
      <c r="G40" s="4198"/>
      <c r="H40" s="22" t="s">
        <v>21</v>
      </c>
      <c r="I40" s="43">
        <f>IF($B$8=12,B40,IF($B$8=4,0,IF($B$8=6,B26,IF($B$8=3,B19,0))))</f>
        <v>0</v>
      </c>
      <c r="J40" s="43">
        <f>IF($B$8=12,C40,IF($B$8=4,0,IF($B$8=6,C26,IF($B$8=3,C19,0))))</f>
        <v>0</v>
      </c>
      <c r="K40" s="68">
        <f>IF($B$8=12,D40,IF($B$8=4,0,IF($B$8=6,D26,IF($B$8=3,D19,0))))</f>
        <v>0</v>
      </c>
      <c r="M40" s="4195"/>
      <c r="N40" s="9" t="s">
        <v>21</v>
      </c>
      <c r="O40" s="43">
        <f t="shared" si="6"/>
        <v>0</v>
      </c>
      <c r="P40" s="43">
        <f t="shared" si="6"/>
        <v>0</v>
      </c>
      <c r="Q40" s="44">
        <f t="shared" si="6"/>
        <v>0</v>
      </c>
    </row>
    <row r="41" spans="1:17" ht="15.75" customHeight="1">
      <c r="A41" s="23">
        <v>30</v>
      </c>
      <c r="B41" s="43">
        <f t="shared" si="0"/>
        <v>0</v>
      </c>
      <c r="C41" s="123">
        <f t="shared" si="2"/>
        <v>0</v>
      </c>
      <c r="D41" s="43">
        <f t="shared" si="3"/>
        <v>0</v>
      </c>
      <c r="E41" s="68">
        <f t="shared" si="4"/>
        <v>0</v>
      </c>
      <c r="G41" s="4198"/>
      <c r="H41" s="22" t="s">
        <v>22</v>
      </c>
      <c r="I41" s="43">
        <f>IF($B$8=12,B41,IF($B$8=4,0,IF($B$8=6,0,IF($B$8=3,0,0))))</f>
        <v>0</v>
      </c>
      <c r="J41" s="43">
        <f>IF($B$8=12,C41,IF($B$8=4,0,IF($B$8=6,0,IF($B$8=3,0,0))))</f>
        <v>0</v>
      </c>
      <c r="K41" s="68">
        <f>IF($B$8=12,D41,IF($B$8=4,0,IF($B$8=6,0,IF($B$8=3,0,0))))</f>
        <v>0</v>
      </c>
      <c r="M41" s="4195"/>
      <c r="N41" s="9" t="s">
        <v>22</v>
      </c>
      <c r="O41" s="43">
        <f t="shared" si="6"/>
        <v>0</v>
      </c>
      <c r="P41" s="43">
        <f t="shared" si="6"/>
        <v>0</v>
      </c>
      <c r="Q41" s="44">
        <f t="shared" si="6"/>
        <v>0</v>
      </c>
    </row>
    <row r="42" spans="1:17" ht="15.75" customHeight="1">
      <c r="A42" s="23">
        <v>31</v>
      </c>
      <c r="B42" s="43">
        <f t="shared" si="0"/>
        <v>0</v>
      </c>
      <c r="C42" s="123">
        <f t="shared" si="2"/>
        <v>0</v>
      </c>
      <c r="D42" s="43">
        <f t="shared" si="3"/>
        <v>0</v>
      </c>
      <c r="E42" s="68">
        <f t="shared" si="4"/>
        <v>0</v>
      </c>
      <c r="G42" s="4198"/>
      <c r="H42" s="22" t="s">
        <v>23</v>
      </c>
      <c r="I42" s="43">
        <f>IF($B$8=12,B42,IF($B$8=4,B22,IF($B$8=6,B27,IF($B$8=3,0,IF($B$8=2,B17,0)))))</f>
        <v>0</v>
      </c>
      <c r="J42" s="43">
        <f>IF($B$8=12,C42,IF($B$8=4,C22,IF($B$8=6,C27,IF($B$8=3,0,IF($B$8=2,C17,0)))))</f>
        <v>0</v>
      </c>
      <c r="K42" s="68">
        <f>IF($B$8=12,D42,IF($B$8=4,D22,IF($B$8=6,D27,IF($B$8=3,0,IF($B$8=2,D17,0)))))</f>
        <v>0</v>
      </c>
      <c r="M42" s="4195"/>
      <c r="N42" s="9" t="s">
        <v>23</v>
      </c>
      <c r="O42" s="43">
        <f t="shared" si="6"/>
        <v>0</v>
      </c>
      <c r="P42" s="43">
        <f t="shared" si="6"/>
        <v>0</v>
      </c>
      <c r="Q42" s="44">
        <f t="shared" si="6"/>
        <v>0</v>
      </c>
    </row>
    <row r="43" spans="1:17" ht="15.75" customHeight="1">
      <c r="A43" s="23">
        <v>32</v>
      </c>
      <c r="B43" s="43">
        <f t="shared" si="0"/>
        <v>0</v>
      </c>
      <c r="C43" s="123">
        <f t="shared" si="2"/>
        <v>0</v>
      </c>
      <c r="D43" s="43">
        <f t="shared" si="3"/>
        <v>0</v>
      </c>
      <c r="E43" s="68">
        <f t="shared" si="4"/>
        <v>0</v>
      </c>
      <c r="G43" s="4198"/>
      <c r="H43" s="22" t="s">
        <v>24</v>
      </c>
      <c r="I43" s="43">
        <f>IF($B$8=12,B43,IF($B$8=4,0,IF($B$8=6,0,IF($B$8=3,0,0))))</f>
        <v>0</v>
      </c>
      <c r="J43" s="43">
        <f>IF($B$8=12,C43,IF($B$8=4,0,IF($B$8=6,0,IF($B$8=3,0,0))))</f>
        <v>0</v>
      </c>
      <c r="K43" s="68">
        <f>IF($B$8=12,D43,IF($B$8=4,0,IF($B$8=6,0,IF($B$8=3,0,0))))</f>
        <v>0</v>
      </c>
      <c r="M43" s="4195"/>
      <c r="N43" s="9" t="s">
        <v>24</v>
      </c>
      <c r="O43" s="43">
        <f t="shared" si="6"/>
        <v>0</v>
      </c>
      <c r="P43" s="43">
        <f t="shared" si="6"/>
        <v>0</v>
      </c>
      <c r="Q43" s="44">
        <f t="shared" si="6"/>
        <v>0</v>
      </c>
    </row>
    <row r="44" spans="1:17" ht="15.75" customHeight="1">
      <c r="A44" s="23">
        <v>33</v>
      </c>
      <c r="B44" s="43">
        <f t="shared" si="0"/>
        <v>0</v>
      </c>
      <c r="C44" s="123">
        <f t="shared" si="2"/>
        <v>0</v>
      </c>
      <c r="D44" s="43">
        <f t="shared" si="3"/>
        <v>0</v>
      </c>
      <c r="E44" s="68">
        <f t="shared" si="4"/>
        <v>0</v>
      </c>
      <c r="G44" s="4198"/>
      <c r="H44" s="22" t="s">
        <v>25</v>
      </c>
      <c r="I44" s="43">
        <f>IF($B$8=12,B44,IF($B$8=4,0,IF($B$8=6,B28,IF($B$8=3,B20,0))))</f>
        <v>0</v>
      </c>
      <c r="J44" s="43">
        <f>IF($B$8=12,C44,IF($B$8=4,0,IF($B$8=6,C28,IF($B$8=3,C20,0))))</f>
        <v>0</v>
      </c>
      <c r="K44" s="68">
        <f>IF($B$8=12,D44,IF($B$8=4,0,IF($B$8=6,D28,IF($B$8=3,D20,0))))</f>
        <v>0</v>
      </c>
      <c r="M44" s="4195"/>
      <c r="N44" s="9" t="s">
        <v>25</v>
      </c>
      <c r="O44" s="43">
        <f t="shared" si="6"/>
        <v>0</v>
      </c>
      <c r="P44" s="43">
        <f t="shared" si="6"/>
        <v>0</v>
      </c>
      <c r="Q44" s="44">
        <f t="shared" si="6"/>
        <v>0</v>
      </c>
    </row>
    <row r="45" spans="1:17" ht="15.75" customHeight="1">
      <c r="A45" s="23">
        <v>34</v>
      </c>
      <c r="B45" s="43">
        <f t="shared" si="0"/>
        <v>0</v>
      </c>
      <c r="C45" s="123">
        <f t="shared" si="2"/>
        <v>0</v>
      </c>
      <c r="D45" s="43">
        <f t="shared" si="3"/>
        <v>0</v>
      </c>
      <c r="E45" s="68">
        <f t="shared" si="4"/>
        <v>0</v>
      </c>
      <c r="G45" s="4198"/>
      <c r="H45" s="22" t="s">
        <v>26</v>
      </c>
      <c r="I45" s="43">
        <f>IF($B$8=12,B45,IF($B$8=4,B23,IF($B$8=6,0,IF($B$8=3,0,0))))</f>
        <v>0</v>
      </c>
      <c r="J45" s="43">
        <f>IF($B$8=12,C45,IF($B$8=4,C23,IF($B$8=6,0,IF($B$8=3,0,0))))</f>
        <v>0</v>
      </c>
      <c r="K45" s="68">
        <f>IF($B$8=12,D45,IF($B$8=4,D23,IF($B$8=6,0,IF($B$8=3,0,0))))</f>
        <v>0</v>
      </c>
      <c r="M45" s="4195"/>
      <c r="N45" s="9" t="s">
        <v>26</v>
      </c>
      <c r="O45" s="43">
        <f t="shared" si="6"/>
        <v>0</v>
      </c>
      <c r="P45" s="43">
        <f t="shared" si="6"/>
        <v>0</v>
      </c>
      <c r="Q45" s="44">
        <f t="shared" si="6"/>
        <v>0</v>
      </c>
    </row>
    <row r="46" spans="1:17" ht="15.75" customHeight="1">
      <c r="A46" s="23">
        <v>35</v>
      </c>
      <c r="B46" s="43">
        <f t="shared" si="0"/>
        <v>0</v>
      </c>
      <c r="C46" s="123">
        <f t="shared" si="2"/>
        <v>0</v>
      </c>
      <c r="D46" s="43">
        <f t="shared" si="3"/>
        <v>0</v>
      </c>
      <c r="E46" s="68">
        <f t="shared" si="4"/>
        <v>0</v>
      </c>
      <c r="G46" s="4198"/>
      <c r="H46" s="22" t="s">
        <v>27</v>
      </c>
      <c r="I46" s="43">
        <f>IF($B$8=12,B46,IF($B$8=4,0,IF($B$8=6,B29,IF($B$8=3,0,0))))</f>
        <v>0</v>
      </c>
      <c r="J46" s="43">
        <f>IF($B$8=12,C46,IF($B$8=4,0,IF($B$8=6,C29,IF($B$8=3,0,0))))</f>
        <v>0</v>
      </c>
      <c r="K46" s="68">
        <f>IF($B$8=12,D46,IF($B$8=4,0,IF($B$8=6,D29,IF($B$8=3,0,0))))</f>
        <v>0</v>
      </c>
      <c r="M46" s="4195"/>
      <c r="N46" s="9" t="s">
        <v>27</v>
      </c>
      <c r="O46" s="43">
        <f t="shared" si="6"/>
        <v>0</v>
      </c>
      <c r="P46" s="43">
        <f t="shared" si="6"/>
        <v>0</v>
      </c>
      <c r="Q46" s="44">
        <f t="shared" si="6"/>
        <v>0</v>
      </c>
    </row>
    <row r="47" spans="1:17" ht="15.75" customHeight="1" thickBot="1">
      <c r="A47" s="24">
        <v>36</v>
      </c>
      <c r="B47" s="70">
        <f t="shared" si="0"/>
        <v>0</v>
      </c>
      <c r="C47" s="139">
        <f t="shared" si="2"/>
        <v>0</v>
      </c>
      <c r="D47" s="70">
        <f t="shared" si="3"/>
        <v>0</v>
      </c>
      <c r="E47" s="75">
        <f t="shared" si="4"/>
        <v>0</v>
      </c>
      <c r="G47" s="4199"/>
      <c r="H47" s="25" t="s">
        <v>28</v>
      </c>
      <c r="I47" s="70">
        <f>IF($B$8=12,B47,IF($B$8=4,0,IF($B$8=6,0,IF($B$8=3,0,0))))</f>
        <v>0</v>
      </c>
      <c r="J47" s="70">
        <f>IF($B$8=12,C47,IF($B$8=4,0,IF($B$8=6,0,IF($B$8=3,0,0))))</f>
        <v>0</v>
      </c>
      <c r="K47" s="72">
        <f>IF($B$8=12,D47,IF($B$8=4,0,IF($B$8=6,0,IF($B$8=3,0,0))))</f>
        <v>0</v>
      </c>
      <c r="M47" s="4196"/>
      <c r="N47" s="35" t="s">
        <v>28</v>
      </c>
      <c r="O47" s="45">
        <f t="shared" si="6"/>
        <v>0</v>
      </c>
      <c r="P47" s="45">
        <f t="shared" si="6"/>
        <v>0</v>
      </c>
      <c r="Q47" s="46">
        <f t="shared" si="6"/>
        <v>0</v>
      </c>
    </row>
    <row r="48" spans="1:17" ht="15.75" customHeight="1">
      <c r="A48" s="23">
        <v>37</v>
      </c>
      <c r="B48" s="43">
        <f t="shared" si="0"/>
        <v>0</v>
      </c>
      <c r="C48" s="123">
        <f t="shared" si="2"/>
        <v>0</v>
      </c>
      <c r="D48" s="43">
        <f t="shared" si="3"/>
        <v>0</v>
      </c>
      <c r="E48" s="68">
        <f t="shared" si="4"/>
        <v>0</v>
      </c>
      <c r="G48" s="4197">
        <v>2018</v>
      </c>
      <c r="H48" s="22" t="s">
        <v>17</v>
      </c>
      <c r="I48" s="43">
        <f>IF($B$8=12,B48,IF($B$8=4,B24,IF($B$8=6,B30,IF($B$8=3,B21,IF($B$8=2,B18,IF($B$8=1,B15,0))))))</f>
        <v>0</v>
      </c>
      <c r="J48" s="43">
        <f>IF($B$8=12,C48,IF($B$8=4,C24,IF($B$8=6,C30,IF($B$8=3,C21,IF($B$8=2,C18,IF($B$8=1,C15,0))))))</f>
        <v>0</v>
      </c>
      <c r="K48" s="68">
        <f>IF($B$8=12,D48,IF($B$8=4,D24,IF($B$8=6,D30,IF($B$8=3,D21,IF($B$8=2,D18,IF($B$8=1,D15,0))))))</f>
        <v>0</v>
      </c>
      <c r="M48" s="4194">
        <v>2018</v>
      </c>
      <c r="N48" s="9" t="s">
        <v>17</v>
      </c>
      <c r="O48" s="76">
        <f t="shared" ref="O48:Q59" si="7">IF($I$6=4,I12,IF($I$6=3,I24,IF($I$6=2,I36,IF($I$6=1,I48,0))))</f>
        <v>0</v>
      </c>
      <c r="P48" s="76">
        <f t="shared" si="7"/>
        <v>0</v>
      </c>
      <c r="Q48" s="77">
        <f t="shared" si="7"/>
        <v>0</v>
      </c>
    </row>
    <row r="49" spans="1:17" ht="15.75" customHeight="1">
      <c r="A49" s="23">
        <v>38</v>
      </c>
      <c r="B49" s="43">
        <f t="shared" si="0"/>
        <v>0</v>
      </c>
      <c r="C49" s="123">
        <f t="shared" si="2"/>
        <v>0</v>
      </c>
      <c r="D49" s="43">
        <f t="shared" si="3"/>
        <v>0</v>
      </c>
      <c r="E49" s="68">
        <f t="shared" si="4"/>
        <v>0</v>
      </c>
      <c r="G49" s="4198"/>
      <c r="H49" s="22" t="s">
        <v>18</v>
      </c>
      <c r="I49" s="43">
        <f>IF($B$8=12,B49,0)</f>
        <v>0</v>
      </c>
      <c r="J49" s="43">
        <f>IF($B$8=12,C49,0)</f>
        <v>0</v>
      </c>
      <c r="K49" s="68">
        <f>IF($B$8=12,D49,0)</f>
        <v>0</v>
      </c>
      <c r="M49" s="4195"/>
      <c r="N49" s="9" t="s">
        <v>18</v>
      </c>
      <c r="O49" s="43">
        <f t="shared" si="7"/>
        <v>0</v>
      </c>
      <c r="P49" s="43">
        <f t="shared" si="7"/>
        <v>0</v>
      </c>
      <c r="Q49" s="44">
        <f t="shared" si="7"/>
        <v>0</v>
      </c>
    </row>
    <row r="50" spans="1:17" ht="15.75" customHeight="1">
      <c r="A50" s="23">
        <v>39</v>
      </c>
      <c r="B50" s="43">
        <f t="shared" si="0"/>
        <v>0</v>
      </c>
      <c r="C50" s="123">
        <f t="shared" si="2"/>
        <v>0</v>
      </c>
      <c r="D50" s="43">
        <f t="shared" si="3"/>
        <v>0</v>
      </c>
      <c r="E50" s="68">
        <f t="shared" si="4"/>
        <v>0</v>
      </c>
      <c r="G50" s="4198"/>
      <c r="H50" s="22" t="s">
        <v>19</v>
      </c>
      <c r="I50" s="43">
        <f>IF($B$8=12,B50,IF($B$8=6,B31,0))</f>
        <v>0</v>
      </c>
      <c r="J50" s="43">
        <f>IF($B$8=12,C50,IF($B$8=6,C31,0))</f>
        <v>0</v>
      </c>
      <c r="K50" s="68">
        <f>IF($B$8=12,D50,IF($B$8=6,D31,0))</f>
        <v>0</v>
      </c>
      <c r="M50" s="4195"/>
      <c r="N50" s="9" t="s">
        <v>19</v>
      </c>
      <c r="O50" s="43">
        <f t="shared" si="7"/>
        <v>0</v>
      </c>
      <c r="P50" s="43">
        <f t="shared" si="7"/>
        <v>0</v>
      </c>
      <c r="Q50" s="44">
        <f t="shared" si="7"/>
        <v>0</v>
      </c>
    </row>
    <row r="51" spans="1:17" ht="15.75" customHeight="1">
      <c r="A51" s="23">
        <v>40</v>
      </c>
      <c r="B51" s="43">
        <f t="shared" si="0"/>
        <v>0</v>
      </c>
      <c r="C51" s="123">
        <f t="shared" si="2"/>
        <v>0</v>
      </c>
      <c r="D51" s="43">
        <f t="shared" si="3"/>
        <v>0</v>
      </c>
      <c r="E51" s="68">
        <f t="shared" si="4"/>
        <v>0</v>
      </c>
      <c r="G51" s="4198"/>
      <c r="H51" s="22" t="s">
        <v>20</v>
      </c>
      <c r="I51" s="43">
        <f>IF($B$8=12,B51,IF($B$8=4,B25,IF($B$8=6,0,IF($B$8=3,0,0))))</f>
        <v>0</v>
      </c>
      <c r="J51" s="43">
        <f>IF($B$8=12,C51,IF($B$8=4,C25,IF($B$8=6,0,IF($B$8=3,0,0))))</f>
        <v>0</v>
      </c>
      <c r="K51" s="68">
        <f>IF($B$8=12,D51,IF($B$8=4,D25,IF($B$8=6,0,IF($B$8=3,0,0))))</f>
        <v>0</v>
      </c>
      <c r="M51" s="4195"/>
      <c r="N51" s="9" t="s">
        <v>20</v>
      </c>
      <c r="O51" s="43">
        <f t="shared" si="7"/>
        <v>0</v>
      </c>
      <c r="P51" s="43">
        <f t="shared" si="7"/>
        <v>0</v>
      </c>
      <c r="Q51" s="44">
        <f t="shared" si="7"/>
        <v>0</v>
      </c>
    </row>
    <row r="52" spans="1:17" ht="15.75" customHeight="1">
      <c r="A52" s="23">
        <v>41</v>
      </c>
      <c r="B52" s="43">
        <f t="shared" si="0"/>
        <v>0</v>
      </c>
      <c r="C52" s="123">
        <f t="shared" si="2"/>
        <v>0</v>
      </c>
      <c r="D52" s="43">
        <f t="shared" si="3"/>
        <v>0</v>
      </c>
      <c r="E52" s="68">
        <f t="shared" si="4"/>
        <v>0</v>
      </c>
      <c r="G52" s="4198"/>
      <c r="H52" s="22" t="s">
        <v>21</v>
      </c>
      <c r="I52" s="43">
        <f>IF($B$8=12,B52,IF($B$8=4,0,IF($B$8=6,B32,IF($B$8=3,B22,0))))</f>
        <v>0</v>
      </c>
      <c r="J52" s="43">
        <f>IF($B$8=12,C52,IF($B$8=4,0,IF($B$8=6,C32,IF($B$8=3,C22,0))))</f>
        <v>0</v>
      </c>
      <c r="K52" s="68">
        <f>IF($B$8=12,D52,IF($B$8=4,0,IF($B$8=6,D32,IF($B$8=3,D22,0))))</f>
        <v>0</v>
      </c>
      <c r="M52" s="4195"/>
      <c r="N52" s="9" t="s">
        <v>21</v>
      </c>
      <c r="O52" s="43">
        <f t="shared" si="7"/>
        <v>0</v>
      </c>
      <c r="P52" s="43">
        <f t="shared" si="7"/>
        <v>0</v>
      </c>
      <c r="Q52" s="44">
        <f t="shared" si="7"/>
        <v>0</v>
      </c>
    </row>
    <row r="53" spans="1:17" ht="15.75" customHeight="1">
      <c r="A53" s="23">
        <v>42</v>
      </c>
      <c r="B53" s="43">
        <f t="shared" si="0"/>
        <v>0</v>
      </c>
      <c r="C53" s="123">
        <f t="shared" si="2"/>
        <v>0</v>
      </c>
      <c r="D53" s="43">
        <f t="shared" si="3"/>
        <v>0</v>
      </c>
      <c r="E53" s="68">
        <f t="shared" si="4"/>
        <v>0</v>
      </c>
      <c r="G53" s="4198"/>
      <c r="H53" s="22" t="s">
        <v>22</v>
      </c>
      <c r="I53" s="43">
        <f>IF($B$8=12,B53,IF($B$8=4,0,IF($B$8=6,0,IF($B$8=3,0,0))))</f>
        <v>0</v>
      </c>
      <c r="J53" s="43">
        <f>IF($B$8=12,C53,IF($B$8=4,0,IF($B$8=6,0,IF($B$8=3,0,0))))</f>
        <v>0</v>
      </c>
      <c r="K53" s="68">
        <f>IF($B$8=12,D53,IF($B$8=4,0,IF($B$8=6,0,IF($B$8=3,0,0))))</f>
        <v>0</v>
      </c>
      <c r="M53" s="4195"/>
      <c r="N53" s="9" t="s">
        <v>22</v>
      </c>
      <c r="O53" s="43">
        <f t="shared" si="7"/>
        <v>0</v>
      </c>
      <c r="P53" s="43">
        <f t="shared" si="7"/>
        <v>0</v>
      </c>
      <c r="Q53" s="44">
        <f t="shared" si="7"/>
        <v>0</v>
      </c>
    </row>
    <row r="54" spans="1:17" ht="15.75" customHeight="1">
      <c r="A54" s="23">
        <v>43</v>
      </c>
      <c r="B54" s="43">
        <f t="shared" si="0"/>
        <v>0</v>
      </c>
      <c r="C54" s="123">
        <f t="shared" si="2"/>
        <v>0</v>
      </c>
      <c r="D54" s="43">
        <f t="shared" si="3"/>
        <v>0</v>
      </c>
      <c r="E54" s="68">
        <f t="shared" si="4"/>
        <v>0</v>
      </c>
      <c r="G54" s="4198"/>
      <c r="H54" s="22" t="s">
        <v>23</v>
      </c>
      <c r="I54" s="43">
        <f>IF($B$8=12,B54,IF($B$8=4,B26,IF($B$8=6,B33,IF($B$8=3,0,IF($B$8=2,B19,0)))))</f>
        <v>0</v>
      </c>
      <c r="J54" s="43">
        <f>IF($B$8=12,C54,IF($B$8=4,C26,IF($B$8=6,C33,IF($B$8=3,0,IF($B$8=2,C19,0)))))</f>
        <v>0</v>
      </c>
      <c r="K54" s="68">
        <f>IF($B$8=12,D54,IF($B$8=4,D26,IF($B$8=6,D33,IF($B$8=3,0,IF($B$8=2,D19,0)))))</f>
        <v>0</v>
      </c>
      <c r="M54" s="4195"/>
      <c r="N54" s="9" t="s">
        <v>23</v>
      </c>
      <c r="O54" s="43">
        <f t="shared" si="7"/>
        <v>0</v>
      </c>
      <c r="P54" s="43">
        <f t="shared" si="7"/>
        <v>0</v>
      </c>
      <c r="Q54" s="44">
        <f t="shared" si="7"/>
        <v>0</v>
      </c>
    </row>
    <row r="55" spans="1:17" ht="15.75" customHeight="1">
      <c r="A55" s="23">
        <v>44</v>
      </c>
      <c r="B55" s="43">
        <f t="shared" si="0"/>
        <v>0</v>
      </c>
      <c r="C55" s="123">
        <f t="shared" si="2"/>
        <v>0</v>
      </c>
      <c r="D55" s="43">
        <f t="shared" si="3"/>
        <v>0</v>
      </c>
      <c r="E55" s="68">
        <f t="shared" si="4"/>
        <v>0</v>
      </c>
      <c r="G55" s="4198"/>
      <c r="H55" s="22" t="s">
        <v>24</v>
      </c>
      <c r="I55" s="43">
        <f>IF($B$8=12,B55,IF($B$8=4,0,IF($B$8=6,0,IF($B$8=3,0,0))))</f>
        <v>0</v>
      </c>
      <c r="J55" s="43">
        <f>IF($B$8=12,C55,IF($B$8=4,0,IF($B$8=6,0,IF($B$8=3,0,0))))</f>
        <v>0</v>
      </c>
      <c r="K55" s="68">
        <f>IF($B$8=12,D55,IF($B$8=4,0,IF($B$8=6,0,IF($B$8=3,0,0))))</f>
        <v>0</v>
      </c>
      <c r="M55" s="4195"/>
      <c r="N55" s="9" t="s">
        <v>24</v>
      </c>
      <c r="O55" s="43">
        <f t="shared" si="7"/>
        <v>0</v>
      </c>
      <c r="P55" s="43">
        <f t="shared" si="7"/>
        <v>0</v>
      </c>
      <c r="Q55" s="44">
        <f t="shared" si="7"/>
        <v>0</v>
      </c>
    </row>
    <row r="56" spans="1:17" ht="15.75" customHeight="1">
      <c r="A56" s="23">
        <v>45</v>
      </c>
      <c r="B56" s="43">
        <f t="shared" si="0"/>
        <v>0</v>
      </c>
      <c r="C56" s="123">
        <f t="shared" si="2"/>
        <v>0</v>
      </c>
      <c r="D56" s="43">
        <f t="shared" si="3"/>
        <v>0</v>
      </c>
      <c r="E56" s="68">
        <f t="shared" si="4"/>
        <v>0</v>
      </c>
      <c r="G56" s="4198"/>
      <c r="H56" s="22" t="s">
        <v>25</v>
      </c>
      <c r="I56" s="43">
        <f>IF($B$8=12,B56,IF($B$8=4,0,IF($B$8=6,B34,IF($B$8=3,B23,0))))</f>
        <v>0</v>
      </c>
      <c r="J56" s="43">
        <f>IF($B$8=12,C56,IF($B$8=4,0,IF($B$8=6,C34,IF($B$8=3,C23,0))))</f>
        <v>0</v>
      </c>
      <c r="K56" s="68">
        <f>IF($B$8=12,D56,IF($B$8=4,0,IF($B$8=6,D34,IF($B$8=3,D23,0))))</f>
        <v>0</v>
      </c>
      <c r="M56" s="4195"/>
      <c r="N56" s="9" t="s">
        <v>25</v>
      </c>
      <c r="O56" s="43">
        <f t="shared" si="7"/>
        <v>0</v>
      </c>
      <c r="P56" s="43">
        <f t="shared" si="7"/>
        <v>0</v>
      </c>
      <c r="Q56" s="44">
        <f t="shared" si="7"/>
        <v>0</v>
      </c>
    </row>
    <row r="57" spans="1:17" ht="15.75" customHeight="1">
      <c r="A57" s="23">
        <v>46</v>
      </c>
      <c r="B57" s="43">
        <f t="shared" si="0"/>
        <v>0</v>
      </c>
      <c r="C57" s="123">
        <f t="shared" si="2"/>
        <v>0</v>
      </c>
      <c r="D57" s="43">
        <f t="shared" si="3"/>
        <v>0</v>
      </c>
      <c r="E57" s="68">
        <f t="shared" si="4"/>
        <v>0</v>
      </c>
      <c r="G57" s="4198"/>
      <c r="H57" s="22" t="s">
        <v>26</v>
      </c>
      <c r="I57" s="43">
        <f>IF($B$8=12,B57,IF($B$8=4,B27,IF($B$8=6,0,IF($B$8=3,0,0))))</f>
        <v>0</v>
      </c>
      <c r="J57" s="43">
        <f>IF($B$8=12,C57,IF($B$8=4,C27,IF($B$8=6,0,IF($B$8=3,0,0))))</f>
        <v>0</v>
      </c>
      <c r="K57" s="68">
        <f>IF($B$8=12,D57,IF($B$8=4,D27,IF($B$8=6,0,IF($B$8=3,0,0))))</f>
        <v>0</v>
      </c>
      <c r="M57" s="4195"/>
      <c r="N57" s="9" t="s">
        <v>26</v>
      </c>
      <c r="O57" s="43">
        <f t="shared" si="7"/>
        <v>0</v>
      </c>
      <c r="P57" s="43">
        <f t="shared" si="7"/>
        <v>0</v>
      </c>
      <c r="Q57" s="44">
        <f t="shared" si="7"/>
        <v>0</v>
      </c>
    </row>
    <row r="58" spans="1:17" ht="15.75" customHeight="1">
      <c r="A58" s="23">
        <v>47</v>
      </c>
      <c r="B58" s="43">
        <f t="shared" si="0"/>
        <v>0</v>
      </c>
      <c r="C58" s="123">
        <f t="shared" si="2"/>
        <v>0</v>
      </c>
      <c r="D58" s="43">
        <f t="shared" si="3"/>
        <v>0</v>
      </c>
      <c r="E58" s="68">
        <f t="shared" si="4"/>
        <v>0</v>
      </c>
      <c r="G58" s="4198"/>
      <c r="H58" s="22" t="s">
        <v>27</v>
      </c>
      <c r="I58" s="43">
        <f>IF($B$8=12,B58,IF($B$8=4,0,IF($B$8=6,B35,IF($B$8=3,0,0))))</f>
        <v>0</v>
      </c>
      <c r="J58" s="43">
        <f>IF($B$8=12,C58,IF($B$8=4,0,IF($B$8=6,C35,IF($B$8=3,0,0))))</f>
        <v>0</v>
      </c>
      <c r="K58" s="68">
        <f>IF($B$8=12,D58,IF($B$8=4,0,IF($B$8=6,D35,IF($B$8=3,0,0))))</f>
        <v>0</v>
      </c>
      <c r="M58" s="4195"/>
      <c r="N58" s="9" t="s">
        <v>27</v>
      </c>
      <c r="O58" s="43">
        <f t="shared" si="7"/>
        <v>0</v>
      </c>
      <c r="P58" s="43">
        <f t="shared" si="7"/>
        <v>0</v>
      </c>
      <c r="Q58" s="44">
        <f t="shared" si="7"/>
        <v>0</v>
      </c>
    </row>
    <row r="59" spans="1:17" ht="15.75" customHeight="1" thickBot="1">
      <c r="A59" s="24">
        <v>48</v>
      </c>
      <c r="B59" s="70">
        <f t="shared" si="0"/>
        <v>0</v>
      </c>
      <c r="C59" s="139">
        <f t="shared" si="2"/>
        <v>0</v>
      </c>
      <c r="D59" s="70">
        <f t="shared" si="3"/>
        <v>0</v>
      </c>
      <c r="E59" s="75">
        <f t="shared" si="4"/>
        <v>0</v>
      </c>
      <c r="G59" s="4199"/>
      <c r="H59" s="25" t="s">
        <v>28</v>
      </c>
      <c r="I59" s="70">
        <f>IF($B$8=12,B59,IF($B$8=4,0,IF($B$8=6,0,IF($B$8=3,0,0))))</f>
        <v>0</v>
      </c>
      <c r="J59" s="70">
        <f>IF($B$8=12,C59,IF($B$8=4,0,IF($B$8=6,0,IF($B$8=3,0,0))))</f>
        <v>0</v>
      </c>
      <c r="K59" s="72">
        <f>IF($B$8=12,D59,IF($B$8=4,0,IF($B$8=6,0,IF($B$8=3,0,0))))</f>
        <v>0</v>
      </c>
      <c r="M59" s="4196"/>
      <c r="N59" s="35" t="s">
        <v>28</v>
      </c>
      <c r="O59" s="45">
        <f t="shared" si="7"/>
        <v>0</v>
      </c>
      <c r="P59" s="45">
        <f t="shared" si="7"/>
        <v>0</v>
      </c>
      <c r="Q59" s="46">
        <f t="shared" si="7"/>
        <v>0</v>
      </c>
    </row>
    <row r="60" spans="1:17" ht="15.75" customHeight="1">
      <c r="A60" s="23">
        <v>49</v>
      </c>
      <c r="B60" s="43">
        <f t="shared" si="0"/>
        <v>0</v>
      </c>
      <c r="C60" s="123">
        <f t="shared" si="2"/>
        <v>0</v>
      </c>
      <c r="D60" s="43">
        <f t="shared" si="3"/>
        <v>0</v>
      </c>
      <c r="E60" s="68">
        <f t="shared" si="4"/>
        <v>0</v>
      </c>
      <c r="G60" s="4197">
        <v>2019</v>
      </c>
      <c r="H60" s="22" t="s">
        <v>17</v>
      </c>
      <c r="I60" s="43">
        <f>IF($B$8=12,B60,IF($B$8=4,B28,IF($B$8=6,B36,IF($B$8=3,B24,IF($B$8=2,B20,IF($B$8=1,B16,0))))))</f>
        <v>0</v>
      </c>
      <c r="J60" s="43">
        <f>IF($B$8=12,C60,IF($B$8=4,C28,IF($B$8=6,C36,IF($B$8=3,C24,IF($B$8=2,C20,IF($B$8=1,C16,0))))))</f>
        <v>0</v>
      </c>
      <c r="K60" s="68">
        <f>IF($B$8=12,D60,IF($B$8=4,D28,IF($B$8=6,D36,IF($B$8=3,D24,IF($B$8=2,D20,IF($B$8=1,D16,0))))))</f>
        <v>0</v>
      </c>
      <c r="M60" s="4194">
        <v>2019</v>
      </c>
      <c r="N60" s="9" t="s">
        <v>17</v>
      </c>
      <c r="O60" s="76">
        <f t="shared" ref="O60:Q75" si="8">IF($I$6=5,I12,IF($I$6=4,I24,IF($I$6=3,I36,IF($I$6=2,I48,IF($I$6=1,I60,0)))))</f>
        <v>0</v>
      </c>
      <c r="P60" s="76">
        <f t="shared" si="8"/>
        <v>0</v>
      </c>
      <c r="Q60" s="77">
        <f t="shared" si="8"/>
        <v>0</v>
      </c>
    </row>
    <row r="61" spans="1:17" ht="15.75" customHeight="1">
      <c r="A61" s="23">
        <v>50</v>
      </c>
      <c r="B61" s="43">
        <f t="shared" si="0"/>
        <v>0</v>
      </c>
      <c r="C61" s="123">
        <f t="shared" si="2"/>
        <v>0</v>
      </c>
      <c r="D61" s="43">
        <f t="shared" si="3"/>
        <v>0</v>
      </c>
      <c r="E61" s="68">
        <f t="shared" si="4"/>
        <v>0</v>
      </c>
      <c r="G61" s="4198"/>
      <c r="H61" s="22" t="s">
        <v>18</v>
      </c>
      <c r="I61" s="43">
        <f>IF($B$8=12,B61,0)</f>
        <v>0</v>
      </c>
      <c r="J61" s="43">
        <f>IF($B$8=12,C61,0)</f>
        <v>0</v>
      </c>
      <c r="K61" s="68">
        <f>IF($B$8=12,D61,0)</f>
        <v>0</v>
      </c>
      <c r="M61" s="4195"/>
      <c r="N61" s="9" t="s">
        <v>18</v>
      </c>
      <c r="O61" s="43">
        <f t="shared" si="8"/>
        <v>0</v>
      </c>
      <c r="P61" s="43">
        <f t="shared" si="8"/>
        <v>0</v>
      </c>
      <c r="Q61" s="44">
        <f t="shared" si="8"/>
        <v>0</v>
      </c>
    </row>
    <row r="62" spans="1:17" ht="15.75" customHeight="1">
      <c r="A62" s="23">
        <v>51</v>
      </c>
      <c r="B62" s="43">
        <f t="shared" si="0"/>
        <v>0</v>
      </c>
      <c r="C62" s="123">
        <f t="shared" si="2"/>
        <v>0</v>
      </c>
      <c r="D62" s="43">
        <f t="shared" si="3"/>
        <v>0</v>
      </c>
      <c r="E62" s="68">
        <f t="shared" si="4"/>
        <v>0</v>
      </c>
      <c r="G62" s="4198"/>
      <c r="H62" s="22" t="s">
        <v>19</v>
      </c>
      <c r="I62" s="43">
        <f>IF($B$8=12,B62,IF($B$8=6,B37,0))</f>
        <v>0</v>
      </c>
      <c r="J62" s="43">
        <f>IF($B$8=12,C62,IF($B$8=6,C37,0))</f>
        <v>0</v>
      </c>
      <c r="K62" s="68">
        <f>IF($B$8=12,D62,IF($B$8=6,D37,0))</f>
        <v>0</v>
      </c>
      <c r="M62" s="4195"/>
      <c r="N62" s="9" t="s">
        <v>19</v>
      </c>
      <c r="O62" s="43">
        <f t="shared" si="8"/>
        <v>0</v>
      </c>
      <c r="P62" s="43">
        <f t="shared" si="8"/>
        <v>0</v>
      </c>
      <c r="Q62" s="44">
        <f t="shared" si="8"/>
        <v>0</v>
      </c>
    </row>
    <row r="63" spans="1:17" ht="15.75" customHeight="1">
      <c r="A63" s="23">
        <v>52</v>
      </c>
      <c r="B63" s="43">
        <f t="shared" si="0"/>
        <v>0</v>
      </c>
      <c r="C63" s="123">
        <f t="shared" si="2"/>
        <v>0</v>
      </c>
      <c r="D63" s="43">
        <f t="shared" si="3"/>
        <v>0</v>
      </c>
      <c r="E63" s="68">
        <f t="shared" si="4"/>
        <v>0</v>
      </c>
      <c r="G63" s="4198"/>
      <c r="H63" s="22" t="s">
        <v>20</v>
      </c>
      <c r="I63" s="43">
        <f>IF($B$8=12,B63,IF($B$8=4,B29,IF($B$8=6,0,IF($B$8=3,0,0))))</f>
        <v>0</v>
      </c>
      <c r="J63" s="43">
        <f>IF($B$8=12,C63,IF($B$8=4,C29,IF($B$8=6,0,IF($B$8=3,0,0))))</f>
        <v>0</v>
      </c>
      <c r="K63" s="68">
        <f>IF($B$8=12,D63,IF($B$8=4,D29,IF($B$8=6,0,IF($B$8=3,0,0))))</f>
        <v>0</v>
      </c>
      <c r="M63" s="4195"/>
      <c r="N63" s="9" t="s">
        <v>20</v>
      </c>
      <c r="O63" s="43">
        <f t="shared" si="8"/>
        <v>0</v>
      </c>
      <c r="P63" s="43">
        <f t="shared" si="8"/>
        <v>0</v>
      </c>
      <c r="Q63" s="44">
        <f t="shared" si="8"/>
        <v>0</v>
      </c>
    </row>
    <row r="64" spans="1:17" ht="15.75" customHeight="1">
      <c r="A64" s="23">
        <v>53</v>
      </c>
      <c r="B64" s="43">
        <f t="shared" si="0"/>
        <v>0</v>
      </c>
      <c r="C64" s="123">
        <f t="shared" si="2"/>
        <v>0</v>
      </c>
      <c r="D64" s="43">
        <f t="shared" si="3"/>
        <v>0</v>
      </c>
      <c r="E64" s="68">
        <f t="shared" si="4"/>
        <v>0</v>
      </c>
      <c r="G64" s="4198"/>
      <c r="H64" s="22" t="s">
        <v>21</v>
      </c>
      <c r="I64" s="43">
        <f>IF($B$8=12,B64,IF($B$8=4,0,IF($B$8=6,B38,IF($B$8=3,B25,0))))</f>
        <v>0</v>
      </c>
      <c r="J64" s="43">
        <f>IF($B$8=12,C64,IF($B$8=4,0,IF($B$8=6,C38,IF($B$8=3,C25,0))))</f>
        <v>0</v>
      </c>
      <c r="K64" s="68">
        <f>IF($B$8=12,D64,IF($B$8=4,0,IF($B$8=6,D38,IF($B$8=3,D25,0))))</f>
        <v>0</v>
      </c>
      <c r="M64" s="4195"/>
      <c r="N64" s="9" t="s">
        <v>21</v>
      </c>
      <c r="O64" s="43">
        <f t="shared" si="8"/>
        <v>0</v>
      </c>
      <c r="P64" s="43">
        <f t="shared" si="8"/>
        <v>0</v>
      </c>
      <c r="Q64" s="44">
        <f t="shared" si="8"/>
        <v>0</v>
      </c>
    </row>
    <row r="65" spans="1:17" ht="15.75" customHeight="1">
      <c r="A65" s="23">
        <v>54</v>
      </c>
      <c r="B65" s="43">
        <f t="shared" si="0"/>
        <v>0</v>
      </c>
      <c r="C65" s="123">
        <f t="shared" si="2"/>
        <v>0</v>
      </c>
      <c r="D65" s="43">
        <f t="shared" si="3"/>
        <v>0</v>
      </c>
      <c r="E65" s="68">
        <f t="shared" si="4"/>
        <v>0</v>
      </c>
      <c r="G65" s="4198"/>
      <c r="H65" s="22" t="s">
        <v>22</v>
      </c>
      <c r="I65" s="43">
        <f>IF($B$8=12,B65,IF($B$8=4,0,IF($B$8=6,0,IF($B$8=3,0,0))))</f>
        <v>0</v>
      </c>
      <c r="J65" s="43">
        <f>IF($B$8=12,C65,IF($B$8=4,0,IF($B$8=6,0,IF($B$8=3,0,0))))</f>
        <v>0</v>
      </c>
      <c r="K65" s="68">
        <f>IF($B$8=12,D65,IF($B$8=4,0,IF($B$8=6,0,IF($B$8=3,0,0))))</f>
        <v>0</v>
      </c>
      <c r="M65" s="4195"/>
      <c r="N65" s="9" t="s">
        <v>22</v>
      </c>
      <c r="O65" s="43">
        <f t="shared" si="8"/>
        <v>0</v>
      </c>
      <c r="P65" s="43">
        <f t="shared" si="8"/>
        <v>0</v>
      </c>
      <c r="Q65" s="44">
        <f t="shared" si="8"/>
        <v>0</v>
      </c>
    </row>
    <row r="66" spans="1:17" ht="15.75" customHeight="1">
      <c r="A66" s="23">
        <v>55</v>
      </c>
      <c r="B66" s="43">
        <f t="shared" si="0"/>
        <v>0</v>
      </c>
      <c r="C66" s="123">
        <f t="shared" si="2"/>
        <v>0</v>
      </c>
      <c r="D66" s="43">
        <f t="shared" si="3"/>
        <v>0</v>
      </c>
      <c r="E66" s="68">
        <f t="shared" si="4"/>
        <v>0</v>
      </c>
      <c r="G66" s="4198"/>
      <c r="H66" s="22" t="s">
        <v>23</v>
      </c>
      <c r="I66" s="43">
        <f>IF($B$8=12,B66,IF($B$8=4,B30,IF($B$8=6,B39,IF($B$8=3,0,IF($B$8=2,B21,0)))))</f>
        <v>0</v>
      </c>
      <c r="J66" s="43">
        <f>IF($B$8=12,C66,IF($B$8=4,C30,IF($B$8=6,C39,IF($B$8=3,0,IF($B$8=2,C21,0)))))</f>
        <v>0</v>
      </c>
      <c r="K66" s="68">
        <f>IF($B$8=12,D66,IF($B$8=4,D30,IF($B$8=6,D39,IF($B$8=3,0,IF($B$8=2,D21,0)))))</f>
        <v>0</v>
      </c>
      <c r="M66" s="4195"/>
      <c r="N66" s="9" t="s">
        <v>23</v>
      </c>
      <c r="O66" s="43">
        <f t="shared" si="8"/>
        <v>0</v>
      </c>
      <c r="P66" s="43">
        <f t="shared" si="8"/>
        <v>0</v>
      </c>
      <c r="Q66" s="44">
        <f t="shared" si="8"/>
        <v>0</v>
      </c>
    </row>
    <row r="67" spans="1:17" ht="15.75" customHeight="1">
      <c r="A67" s="23">
        <v>56</v>
      </c>
      <c r="B67" s="43">
        <f t="shared" si="0"/>
        <v>0</v>
      </c>
      <c r="C67" s="123">
        <f t="shared" si="2"/>
        <v>0</v>
      </c>
      <c r="D67" s="43">
        <f t="shared" si="3"/>
        <v>0</v>
      </c>
      <c r="E67" s="68">
        <f t="shared" si="4"/>
        <v>0</v>
      </c>
      <c r="G67" s="4198"/>
      <c r="H67" s="22" t="s">
        <v>24</v>
      </c>
      <c r="I67" s="43">
        <f>IF($B$8=12,B67,IF($B$8=4,0,IF($B$8=6,0,IF($B$8=3,0,0))))</f>
        <v>0</v>
      </c>
      <c r="J67" s="43">
        <f>IF($B$8=12,C67,IF($B$8=4,0,IF($B$8=6,0,IF($B$8=3,0,0))))</f>
        <v>0</v>
      </c>
      <c r="K67" s="68">
        <f>IF($B$8=12,D67,IF($B$8=4,0,IF($B$8=6,0,IF($B$8=3,0,0))))</f>
        <v>0</v>
      </c>
      <c r="M67" s="4195"/>
      <c r="N67" s="9" t="s">
        <v>24</v>
      </c>
      <c r="O67" s="43">
        <f t="shared" si="8"/>
        <v>0</v>
      </c>
      <c r="P67" s="43">
        <f t="shared" si="8"/>
        <v>0</v>
      </c>
      <c r="Q67" s="44">
        <f t="shared" si="8"/>
        <v>0</v>
      </c>
    </row>
    <row r="68" spans="1:17" ht="15.75" customHeight="1">
      <c r="A68" s="23">
        <v>57</v>
      </c>
      <c r="B68" s="43">
        <f t="shared" si="0"/>
        <v>0</v>
      </c>
      <c r="C68" s="123">
        <f t="shared" si="2"/>
        <v>0</v>
      </c>
      <c r="D68" s="43">
        <f t="shared" si="3"/>
        <v>0</v>
      </c>
      <c r="E68" s="68">
        <f t="shared" si="4"/>
        <v>0</v>
      </c>
      <c r="G68" s="4198"/>
      <c r="H68" s="22" t="s">
        <v>25</v>
      </c>
      <c r="I68" s="43">
        <f>IF($B$8=12,B68,IF($B$8=4,0,IF($B$8=6,B40,IF($B$8=3,B26,0))))</f>
        <v>0</v>
      </c>
      <c r="J68" s="43">
        <f>IF($B$8=12,C68,IF($B$8=4,0,IF($B$8=6,C40,IF($B$8=3,C26,0))))</f>
        <v>0</v>
      </c>
      <c r="K68" s="68">
        <f>IF($B$8=12,D68,IF($B$8=4,0,IF($B$8=6,D40,IF($B$8=3,D26,0))))</f>
        <v>0</v>
      </c>
      <c r="M68" s="4195"/>
      <c r="N68" s="9" t="s">
        <v>25</v>
      </c>
      <c r="O68" s="43">
        <f t="shared" si="8"/>
        <v>0</v>
      </c>
      <c r="P68" s="43">
        <f t="shared" si="8"/>
        <v>0</v>
      </c>
      <c r="Q68" s="44">
        <f t="shared" si="8"/>
        <v>0</v>
      </c>
    </row>
    <row r="69" spans="1:17" ht="15.75" customHeight="1">
      <c r="A69" s="23">
        <v>58</v>
      </c>
      <c r="B69" s="43">
        <f t="shared" si="0"/>
        <v>0</v>
      </c>
      <c r="C69" s="123">
        <f t="shared" si="2"/>
        <v>0</v>
      </c>
      <c r="D69" s="43">
        <f t="shared" si="3"/>
        <v>0</v>
      </c>
      <c r="E69" s="68">
        <f t="shared" si="4"/>
        <v>0</v>
      </c>
      <c r="G69" s="4198"/>
      <c r="H69" s="22" t="s">
        <v>26</v>
      </c>
      <c r="I69" s="43">
        <f>IF($B$8=12,B69,IF($B$8=4,B31,IF($B$8=6,0,IF($B$8=3,0,0))))</f>
        <v>0</v>
      </c>
      <c r="J69" s="43">
        <f>IF($B$8=12,C69,IF($B$8=4,C31,IF($B$8=6,0,IF($B$8=3,0,0))))</f>
        <v>0</v>
      </c>
      <c r="K69" s="68">
        <f>IF($B$8=12,D69,IF($B$8=4,D31,IF($B$8=6,0,IF($B$8=3,0,0))))</f>
        <v>0</v>
      </c>
      <c r="M69" s="4195"/>
      <c r="N69" s="9" t="s">
        <v>26</v>
      </c>
      <c r="O69" s="43">
        <f t="shared" si="8"/>
        <v>0</v>
      </c>
      <c r="P69" s="43">
        <f t="shared" si="8"/>
        <v>0</v>
      </c>
      <c r="Q69" s="44">
        <f t="shared" si="8"/>
        <v>0</v>
      </c>
    </row>
    <row r="70" spans="1:17" ht="15.75" customHeight="1">
      <c r="A70" s="23">
        <v>59</v>
      </c>
      <c r="B70" s="43">
        <f t="shared" si="0"/>
        <v>0</v>
      </c>
      <c r="C70" s="123">
        <f t="shared" si="2"/>
        <v>0</v>
      </c>
      <c r="D70" s="43">
        <f t="shared" si="3"/>
        <v>0</v>
      </c>
      <c r="E70" s="68">
        <f t="shared" si="4"/>
        <v>0</v>
      </c>
      <c r="G70" s="4198"/>
      <c r="H70" s="22" t="s">
        <v>27</v>
      </c>
      <c r="I70" s="43">
        <f>IF($B$8=12,B70,IF($B$8=4,0,IF($B$8=6,B41,IF($B$8=3,0,0))))</f>
        <v>0</v>
      </c>
      <c r="J70" s="43">
        <f>IF($B$8=12,C70,IF($B$8=4,0,IF($B$8=6,C41,IF($B$8=3,0,0))))</f>
        <v>0</v>
      </c>
      <c r="K70" s="68">
        <f>IF($B$8=12,D70,IF($B$8=4,0,IF($B$8=6,D41,IF($B$8=3,0,0))))</f>
        <v>0</v>
      </c>
      <c r="M70" s="4195"/>
      <c r="N70" s="9" t="s">
        <v>27</v>
      </c>
      <c r="O70" s="43">
        <f t="shared" si="8"/>
        <v>0</v>
      </c>
      <c r="P70" s="43">
        <f t="shared" si="8"/>
        <v>0</v>
      </c>
      <c r="Q70" s="44">
        <f t="shared" si="8"/>
        <v>0</v>
      </c>
    </row>
    <row r="71" spans="1:17" ht="15.75" customHeight="1" thickBot="1">
      <c r="A71" s="26">
        <v>60</v>
      </c>
      <c r="B71" s="48">
        <f t="shared" si="0"/>
        <v>0</v>
      </c>
      <c r="C71" s="138">
        <f t="shared" si="2"/>
        <v>0</v>
      </c>
      <c r="D71" s="48">
        <f t="shared" si="3"/>
        <v>0</v>
      </c>
      <c r="E71" s="49">
        <f t="shared" si="4"/>
        <v>0</v>
      </c>
      <c r="G71" s="4199"/>
      <c r="H71" s="38" t="s">
        <v>28</v>
      </c>
      <c r="I71" s="48">
        <f>IF($B$8=12,B71,IF($B$8=4,0,IF($B$8=6,0,IF($B$8=3,0,0))))</f>
        <v>0</v>
      </c>
      <c r="J71" s="48">
        <f>IF($B$8=12,C71,IF($B$8=4,0,IF($B$8=6,0,IF($B$8=3,0,0))))</f>
        <v>0</v>
      </c>
      <c r="K71" s="79">
        <f>IF($B$8=12,D71,IF($B$8=4,0,IF($B$8=6,0,IF($B$8=3,0,0))))</f>
        <v>0</v>
      </c>
      <c r="M71" s="4196"/>
      <c r="N71" s="36" t="s">
        <v>28</v>
      </c>
      <c r="O71" s="48">
        <f t="shared" si="8"/>
        <v>0</v>
      </c>
      <c r="P71" s="48">
        <f t="shared" si="8"/>
        <v>0</v>
      </c>
      <c r="Q71" s="49">
        <f t="shared" si="8"/>
        <v>0</v>
      </c>
    </row>
    <row r="72" spans="1:17" ht="16.5" thickTop="1">
      <c r="A72" s="23">
        <v>61</v>
      </c>
      <c r="B72" s="43">
        <f t="shared" si="0"/>
        <v>0</v>
      </c>
      <c r="C72" s="123">
        <f t="shared" si="2"/>
        <v>0</v>
      </c>
      <c r="D72" s="43">
        <f t="shared" si="3"/>
        <v>0</v>
      </c>
      <c r="E72" s="44">
        <f t="shared" si="4"/>
        <v>0</v>
      </c>
      <c r="H72" s="22" t="s">
        <v>17</v>
      </c>
      <c r="I72" s="43">
        <f t="shared" ref="I72:K83" si="9">IF($B$8=12,B72,IF($B$8=4,0,IF($B$8=6,0,IF($B$8=3,0,0))))</f>
        <v>0</v>
      </c>
      <c r="J72" s="43">
        <f t="shared" si="9"/>
        <v>0</v>
      </c>
      <c r="K72" s="68">
        <f t="shared" si="9"/>
        <v>0</v>
      </c>
      <c r="N72" s="9" t="s">
        <v>17</v>
      </c>
      <c r="O72" s="43">
        <f t="shared" si="8"/>
        <v>0</v>
      </c>
      <c r="P72" s="43">
        <f t="shared" si="8"/>
        <v>0</v>
      </c>
      <c r="Q72" s="44">
        <f t="shared" si="8"/>
        <v>0</v>
      </c>
    </row>
    <row r="73" spans="1:17">
      <c r="A73" s="23">
        <v>62</v>
      </c>
      <c r="B73" s="43">
        <f t="shared" si="0"/>
        <v>0</v>
      </c>
      <c r="C73" s="123">
        <f t="shared" si="2"/>
        <v>0</v>
      </c>
      <c r="D73" s="43">
        <f t="shared" si="3"/>
        <v>0</v>
      </c>
      <c r="E73" s="44">
        <f t="shared" si="4"/>
        <v>0</v>
      </c>
      <c r="H73" s="22" t="s">
        <v>18</v>
      </c>
      <c r="I73" s="43">
        <f t="shared" si="9"/>
        <v>0</v>
      </c>
      <c r="J73" s="43">
        <f t="shared" si="9"/>
        <v>0</v>
      </c>
      <c r="K73" s="68">
        <f t="shared" si="9"/>
        <v>0</v>
      </c>
      <c r="N73" s="9" t="s">
        <v>18</v>
      </c>
      <c r="O73" s="43">
        <f t="shared" si="8"/>
        <v>0</v>
      </c>
      <c r="P73" s="43">
        <f t="shared" si="8"/>
        <v>0</v>
      </c>
      <c r="Q73" s="44">
        <f t="shared" si="8"/>
        <v>0</v>
      </c>
    </row>
    <row r="74" spans="1:17">
      <c r="A74" s="23">
        <v>63</v>
      </c>
      <c r="B74" s="43">
        <f t="shared" si="0"/>
        <v>0</v>
      </c>
      <c r="C74" s="123">
        <f t="shared" si="2"/>
        <v>0</v>
      </c>
      <c r="D74" s="43">
        <f t="shared" si="3"/>
        <v>0</v>
      </c>
      <c r="E74" s="44">
        <f t="shared" si="4"/>
        <v>0</v>
      </c>
      <c r="H74" s="22" t="s">
        <v>19</v>
      </c>
      <c r="I74" s="43">
        <f t="shared" si="9"/>
        <v>0</v>
      </c>
      <c r="J74" s="43">
        <f t="shared" si="9"/>
        <v>0</v>
      </c>
      <c r="K74" s="68">
        <f t="shared" si="9"/>
        <v>0</v>
      </c>
      <c r="N74" s="9" t="s">
        <v>19</v>
      </c>
      <c r="O74" s="43">
        <f t="shared" si="8"/>
        <v>0</v>
      </c>
      <c r="P74" s="43">
        <f t="shared" si="8"/>
        <v>0</v>
      </c>
      <c r="Q74" s="44">
        <f t="shared" si="8"/>
        <v>0</v>
      </c>
    </row>
    <row r="75" spans="1:17">
      <c r="A75" s="23">
        <v>64</v>
      </c>
      <c r="B75" s="43">
        <f t="shared" si="0"/>
        <v>0</v>
      </c>
      <c r="C75" s="123">
        <f t="shared" si="2"/>
        <v>0</v>
      </c>
      <c r="D75" s="43">
        <f t="shared" si="3"/>
        <v>0</v>
      </c>
      <c r="E75" s="44">
        <f t="shared" si="4"/>
        <v>0</v>
      </c>
      <c r="H75" s="22" t="s">
        <v>20</v>
      </c>
      <c r="I75" s="43">
        <f t="shared" si="9"/>
        <v>0</v>
      </c>
      <c r="J75" s="43">
        <f t="shared" si="9"/>
        <v>0</v>
      </c>
      <c r="K75" s="68">
        <f t="shared" si="9"/>
        <v>0</v>
      </c>
      <c r="N75" s="9" t="s">
        <v>20</v>
      </c>
      <c r="O75" s="43">
        <f t="shared" si="8"/>
        <v>0</v>
      </c>
      <c r="P75" s="43">
        <f t="shared" si="8"/>
        <v>0</v>
      </c>
      <c r="Q75" s="44">
        <f t="shared" si="8"/>
        <v>0</v>
      </c>
    </row>
    <row r="76" spans="1:17">
      <c r="A76" s="23">
        <v>65</v>
      </c>
      <c r="B76" s="43">
        <f t="shared" ref="B76:B83" si="10">IF(A76&gt;$I$9,IF(E75&gt;1,PMT($B$6/$B$8,$B$7*$B$8,-$B$5),0),0)</f>
        <v>0</v>
      </c>
      <c r="C76" s="123">
        <f t="shared" si="2"/>
        <v>0</v>
      </c>
      <c r="D76" s="43">
        <f t="shared" si="3"/>
        <v>0</v>
      </c>
      <c r="E76" s="44">
        <f t="shared" si="4"/>
        <v>0</v>
      </c>
      <c r="H76" s="22" t="s">
        <v>21</v>
      </c>
      <c r="I76" s="43">
        <f t="shared" si="9"/>
        <v>0</v>
      </c>
      <c r="J76" s="43">
        <f t="shared" si="9"/>
        <v>0</v>
      </c>
      <c r="K76" s="68">
        <f t="shared" si="9"/>
        <v>0</v>
      </c>
      <c r="N76" s="9" t="s">
        <v>21</v>
      </c>
      <c r="O76" s="43">
        <f t="shared" ref="O76:Q83" si="11">IF($I$6=5,I28,IF($I$6=4,I40,IF($I$6=3,I52,IF($I$6=2,I64,IF($I$6=1,I76,0)))))</f>
        <v>0</v>
      </c>
      <c r="P76" s="43">
        <f t="shared" si="11"/>
        <v>0</v>
      </c>
      <c r="Q76" s="44">
        <f t="shared" si="11"/>
        <v>0</v>
      </c>
    </row>
    <row r="77" spans="1:17">
      <c r="A77" s="23">
        <v>66</v>
      </c>
      <c r="B77" s="43">
        <f t="shared" si="10"/>
        <v>0</v>
      </c>
      <c r="C77" s="123">
        <f t="shared" ref="C77:C83" si="12">IF(B77&gt;0,B77-D77,E77*($B$6/$B$8))</f>
        <v>0</v>
      </c>
      <c r="D77" s="43">
        <f t="shared" ref="D77:D83" si="13">IF(A77&gt;$I$9,B77-(E76*($B$6/$B$8)),0)</f>
        <v>0</v>
      </c>
      <c r="E77" s="44">
        <f t="shared" ref="E77:E83" si="14">IF((E76-D77)&gt;0,E76-D77,0)</f>
        <v>0</v>
      </c>
      <c r="H77" s="22" t="s">
        <v>22</v>
      </c>
      <c r="I77" s="43">
        <f t="shared" si="9"/>
        <v>0</v>
      </c>
      <c r="J77" s="43">
        <f t="shared" si="9"/>
        <v>0</v>
      </c>
      <c r="K77" s="68">
        <f t="shared" si="9"/>
        <v>0</v>
      </c>
      <c r="N77" s="9" t="s">
        <v>22</v>
      </c>
      <c r="O77" s="43">
        <f t="shared" si="11"/>
        <v>0</v>
      </c>
      <c r="P77" s="43">
        <f t="shared" si="11"/>
        <v>0</v>
      </c>
      <c r="Q77" s="44">
        <f t="shared" si="11"/>
        <v>0</v>
      </c>
    </row>
    <row r="78" spans="1:17">
      <c r="A78" s="23">
        <v>67</v>
      </c>
      <c r="B78" s="43">
        <f t="shared" si="10"/>
        <v>0</v>
      </c>
      <c r="C78" s="123">
        <f t="shared" si="12"/>
        <v>0</v>
      </c>
      <c r="D78" s="43">
        <f t="shared" si="13"/>
        <v>0</v>
      </c>
      <c r="E78" s="44">
        <f t="shared" si="14"/>
        <v>0</v>
      </c>
      <c r="H78" s="22" t="s">
        <v>23</v>
      </c>
      <c r="I78" s="43">
        <f t="shared" si="9"/>
        <v>0</v>
      </c>
      <c r="J78" s="43">
        <f t="shared" si="9"/>
        <v>0</v>
      </c>
      <c r="K78" s="68">
        <f t="shared" si="9"/>
        <v>0</v>
      </c>
      <c r="N78" s="9" t="s">
        <v>23</v>
      </c>
      <c r="O78" s="43">
        <f t="shared" si="11"/>
        <v>0</v>
      </c>
      <c r="P78" s="43">
        <f t="shared" si="11"/>
        <v>0</v>
      </c>
      <c r="Q78" s="44">
        <f t="shared" si="11"/>
        <v>0</v>
      </c>
    </row>
    <row r="79" spans="1:17">
      <c r="A79" s="23">
        <v>68</v>
      </c>
      <c r="B79" s="43">
        <f t="shared" si="10"/>
        <v>0</v>
      </c>
      <c r="C79" s="123">
        <f t="shared" si="12"/>
        <v>0</v>
      </c>
      <c r="D79" s="43">
        <f t="shared" si="13"/>
        <v>0</v>
      </c>
      <c r="E79" s="44">
        <f t="shared" si="14"/>
        <v>0</v>
      </c>
      <c r="H79" s="22" t="s">
        <v>24</v>
      </c>
      <c r="I79" s="43">
        <f t="shared" si="9"/>
        <v>0</v>
      </c>
      <c r="J79" s="43">
        <f t="shared" si="9"/>
        <v>0</v>
      </c>
      <c r="K79" s="68">
        <f t="shared" si="9"/>
        <v>0</v>
      </c>
      <c r="N79" s="9" t="s">
        <v>24</v>
      </c>
      <c r="O79" s="43">
        <f t="shared" si="11"/>
        <v>0</v>
      </c>
      <c r="P79" s="43">
        <f t="shared" si="11"/>
        <v>0</v>
      </c>
      <c r="Q79" s="44">
        <f t="shared" si="11"/>
        <v>0</v>
      </c>
    </row>
    <row r="80" spans="1:17">
      <c r="A80" s="23">
        <v>69</v>
      </c>
      <c r="B80" s="43">
        <f t="shared" si="10"/>
        <v>0</v>
      </c>
      <c r="C80" s="123">
        <f t="shared" si="12"/>
        <v>0</v>
      </c>
      <c r="D80" s="43">
        <f t="shared" si="13"/>
        <v>0</v>
      </c>
      <c r="E80" s="44">
        <f t="shared" si="14"/>
        <v>0</v>
      </c>
      <c r="H80" s="22" t="s">
        <v>25</v>
      </c>
      <c r="I80" s="43">
        <f t="shared" si="9"/>
        <v>0</v>
      </c>
      <c r="J80" s="43">
        <f t="shared" si="9"/>
        <v>0</v>
      </c>
      <c r="K80" s="68">
        <f t="shared" si="9"/>
        <v>0</v>
      </c>
      <c r="N80" s="9" t="s">
        <v>25</v>
      </c>
      <c r="O80" s="43">
        <f t="shared" si="11"/>
        <v>0</v>
      </c>
      <c r="P80" s="43">
        <f t="shared" si="11"/>
        <v>0</v>
      </c>
      <c r="Q80" s="44">
        <f t="shared" si="11"/>
        <v>0</v>
      </c>
    </row>
    <row r="81" spans="1:17">
      <c r="A81" s="23">
        <v>70</v>
      </c>
      <c r="B81" s="43">
        <f t="shared" si="10"/>
        <v>0</v>
      </c>
      <c r="C81" s="123">
        <f t="shared" si="12"/>
        <v>0</v>
      </c>
      <c r="D81" s="43">
        <f t="shared" si="13"/>
        <v>0</v>
      </c>
      <c r="E81" s="44">
        <f t="shared" si="14"/>
        <v>0</v>
      </c>
      <c r="H81" s="22" t="s">
        <v>26</v>
      </c>
      <c r="I81" s="43">
        <f t="shared" si="9"/>
        <v>0</v>
      </c>
      <c r="J81" s="43">
        <f t="shared" si="9"/>
        <v>0</v>
      </c>
      <c r="K81" s="68">
        <f t="shared" si="9"/>
        <v>0</v>
      </c>
      <c r="N81" s="9" t="s">
        <v>26</v>
      </c>
      <c r="O81" s="43">
        <f t="shared" si="11"/>
        <v>0</v>
      </c>
      <c r="P81" s="43">
        <f t="shared" si="11"/>
        <v>0</v>
      </c>
      <c r="Q81" s="44">
        <f t="shared" si="11"/>
        <v>0</v>
      </c>
    </row>
    <row r="82" spans="1:17">
      <c r="A82" s="23">
        <v>71</v>
      </c>
      <c r="B82" s="43">
        <f t="shared" si="10"/>
        <v>0</v>
      </c>
      <c r="C82" s="123">
        <f t="shared" si="12"/>
        <v>0</v>
      </c>
      <c r="D82" s="43">
        <f t="shared" si="13"/>
        <v>0</v>
      </c>
      <c r="E82" s="44">
        <f t="shared" si="14"/>
        <v>0</v>
      </c>
      <c r="H82" s="22" t="s">
        <v>27</v>
      </c>
      <c r="I82" s="43">
        <f t="shared" si="9"/>
        <v>0</v>
      </c>
      <c r="J82" s="43">
        <f t="shared" si="9"/>
        <v>0</v>
      </c>
      <c r="K82" s="68">
        <f t="shared" si="9"/>
        <v>0</v>
      </c>
      <c r="N82" s="9" t="s">
        <v>27</v>
      </c>
      <c r="O82" s="43">
        <f t="shared" si="11"/>
        <v>0</v>
      </c>
      <c r="P82" s="43">
        <f t="shared" si="11"/>
        <v>0</v>
      </c>
      <c r="Q82" s="44">
        <f t="shared" si="11"/>
        <v>0</v>
      </c>
    </row>
    <row r="83" spans="1:17" ht="16.5" thickBot="1">
      <c r="A83" s="26">
        <v>72</v>
      </c>
      <c r="B83" s="48">
        <f t="shared" si="10"/>
        <v>0</v>
      </c>
      <c r="C83" s="138">
        <f t="shared" si="12"/>
        <v>0</v>
      </c>
      <c r="D83" s="48">
        <f t="shared" si="13"/>
        <v>0</v>
      </c>
      <c r="E83" s="49">
        <f t="shared" si="14"/>
        <v>0</v>
      </c>
      <c r="H83" s="38" t="s">
        <v>28</v>
      </c>
      <c r="I83" s="48">
        <f t="shared" si="9"/>
        <v>0</v>
      </c>
      <c r="J83" s="48">
        <f t="shared" si="9"/>
        <v>0</v>
      </c>
      <c r="K83" s="79">
        <f t="shared" si="9"/>
        <v>0</v>
      </c>
      <c r="N83" s="36" t="s">
        <v>28</v>
      </c>
      <c r="O83" s="48">
        <f t="shared" si="11"/>
        <v>0</v>
      </c>
      <c r="P83" s="48">
        <f t="shared" si="11"/>
        <v>0</v>
      </c>
      <c r="Q83" s="49">
        <f t="shared" si="11"/>
        <v>0</v>
      </c>
    </row>
    <row r="84" spans="1:17" ht="16.5" thickTop="1"/>
  </sheetData>
  <sheetProtection password="C85D" sheet="1"/>
  <mergeCells count="10">
    <mergeCell ref="G48:G59"/>
    <mergeCell ref="M48:M59"/>
    <mergeCell ref="G60:G71"/>
    <mergeCell ref="M60:M71"/>
    <mergeCell ref="G12:G23"/>
    <mergeCell ref="M12:M23"/>
    <mergeCell ref="G24:G35"/>
    <mergeCell ref="M24:M35"/>
    <mergeCell ref="G36:G47"/>
    <mergeCell ref="M36:M47"/>
  </mergeCells>
  <dataValidations count="2">
    <dataValidation type="decimal" allowBlank="1" showErrorMessage="1" sqref="B9">
      <formula1>0</formula1>
      <formula2>12</formula2>
    </dataValidation>
    <dataValidation allowBlank="1" showInputMessage="1" showErrorMessage="1" error="Solo valores enteros comprendidos entre 1 y 5" sqref="I6"/>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U64"/>
  <sheetViews>
    <sheetView showGridLines="0" topLeftCell="A4" zoomScale="70" zoomScaleNormal="70" zoomScaleSheetLayoutView="50" zoomScalePageLayoutView="95" workbookViewId="0">
      <selection activeCell="H17" sqref="H17"/>
    </sheetView>
  </sheetViews>
  <sheetFormatPr baseColWidth="10" defaultColWidth="11.1640625" defaultRowHeight="15.75"/>
  <cols>
    <col min="1" max="1" width="58.83203125" style="2" customWidth="1"/>
    <col min="2" max="2" width="44.83203125" style="2" customWidth="1"/>
    <col min="3" max="3" width="12.83203125" style="2" customWidth="1"/>
    <col min="4" max="4" width="4" style="2" customWidth="1"/>
    <col min="5" max="5" width="25.5" style="3" customWidth="1"/>
    <col min="6" max="6" width="15.33203125" style="3" customWidth="1"/>
    <col min="7" max="7" width="4" style="3" customWidth="1"/>
    <col min="8" max="8" width="25.5" style="3" customWidth="1"/>
    <col min="9" max="9" width="15.33203125" style="3" customWidth="1"/>
    <col min="10" max="10" width="3.83203125" style="3" customWidth="1"/>
    <col min="11" max="11" width="23.6640625" style="3" customWidth="1"/>
    <col min="12" max="12" width="15.83203125" style="3" customWidth="1"/>
    <col min="13" max="13" width="6" style="3" bestFit="1" customWidth="1"/>
    <col min="14" max="14" width="15.1640625" style="2" customWidth="1"/>
    <col min="15" max="18" width="15.1640625" style="2" hidden="1" customWidth="1"/>
    <col min="19" max="22" width="15.1640625" style="2" customWidth="1"/>
    <col min="23" max="16384" width="11.1640625" style="2"/>
  </cols>
  <sheetData>
    <row r="1" spans="1:47" ht="26.25" customHeight="1">
      <c r="A1" s="3345" t="s">
        <v>764</v>
      </c>
      <c r="B1" s="3345"/>
      <c r="C1" s="3345"/>
      <c r="D1" s="3345"/>
      <c r="E1" s="3345"/>
      <c r="F1" s="3345"/>
    </row>
    <row r="2" spans="1:47" ht="24" customHeight="1">
      <c r="A2" s="7"/>
      <c r="B2" s="7"/>
      <c r="C2" s="7"/>
      <c r="D2" s="7"/>
      <c r="E2" s="156"/>
      <c r="F2" s="156"/>
      <c r="G2" s="157"/>
      <c r="H2" s="157"/>
      <c r="I2" s="157"/>
      <c r="O2" s="2" t="s">
        <v>20</v>
      </c>
      <c r="P2" s="2">
        <v>4</v>
      </c>
      <c r="R2" s="2" t="str">
        <f>Año_comienzo_Plan&amp;"/"&amp;Año_comienzo_Plan+1</f>
        <v>/1</v>
      </c>
      <c r="U2" s="153"/>
    </row>
    <row r="3" spans="1:47" ht="22.5" customHeight="1">
      <c r="A3" s="2697" t="s">
        <v>621</v>
      </c>
      <c r="B3" s="2696"/>
      <c r="C3" s="2649"/>
      <c r="D3" s="2649"/>
      <c r="E3" s="2649"/>
      <c r="F3" s="2649"/>
      <c r="G3" s="2649"/>
      <c r="H3" s="2649"/>
      <c r="I3" s="2649"/>
      <c r="J3" s="2649"/>
      <c r="K3" s="2649"/>
      <c r="L3" s="2650"/>
      <c r="M3" s="5"/>
      <c r="N3" s="6"/>
      <c r="O3" s="6" t="s">
        <v>24</v>
      </c>
      <c r="P3" s="6">
        <v>8</v>
      </c>
      <c r="Q3" s="6"/>
      <c r="R3" s="2" t="str">
        <f>Año_comienzo_Plan+1&amp;"/"&amp;Año_comienzo_Plan+2</f>
        <v>1/2</v>
      </c>
      <c r="S3" s="6"/>
      <c r="T3" s="6"/>
      <c r="U3" s="153"/>
      <c r="V3" s="6"/>
      <c r="W3" s="6"/>
      <c r="X3" s="6"/>
      <c r="Y3" s="6"/>
      <c r="Z3" s="6"/>
      <c r="AA3" s="6"/>
      <c r="AB3" s="6"/>
      <c r="AC3" s="6"/>
      <c r="AD3" s="6"/>
      <c r="AE3" s="6"/>
      <c r="AF3" s="6"/>
      <c r="AG3" s="6"/>
      <c r="AH3" s="6"/>
      <c r="AI3" s="6"/>
      <c r="AJ3" s="6"/>
      <c r="AK3" s="6"/>
      <c r="AL3" s="6"/>
      <c r="AM3" s="6"/>
      <c r="AN3" s="6"/>
      <c r="AO3" s="6"/>
      <c r="AP3" s="6"/>
      <c r="AQ3" s="6"/>
      <c r="AR3" s="6"/>
      <c r="AS3" s="6"/>
      <c r="AT3" s="6"/>
      <c r="AU3" s="6"/>
    </row>
    <row r="4" spans="1:47" ht="16.5">
      <c r="A4" s="269"/>
      <c r="B4" s="285"/>
      <c r="C4" s="285"/>
      <c r="D4" s="265"/>
      <c r="E4" s="264"/>
      <c r="F4" s="264"/>
      <c r="G4" s="264"/>
      <c r="H4" s="264"/>
      <c r="I4" s="264"/>
      <c r="J4" s="266"/>
      <c r="K4" s="266"/>
      <c r="L4" s="5"/>
      <c r="M4" s="5"/>
      <c r="N4" s="6"/>
      <c r="O4" s="6" t="s">
        <v>28</v>
      </c>
      <c r="P4" s="6">
        <v>12</v>
      </c>
      <c r="Q4" s="6"/>
      <c r="R4" s="2" t="str">
        <f>Año_comienzo_Plan+2&amp;"/"&amp;Año_comienzo_Plan+3</f>
        <v>2/3</v>
      </c>
      <c r="S4" s="6"/>
      <c r="T4" s="6"/>
      <c r="U4" s="153"/>
      <c r="V4" s="6"/>
      <c r="W4" s="6"/>
      <c r="X4" s="6"/>
      <c r="Y4" s="6"/>
      <c r="Z4" s="6"/>
      <c r="AA4" s="6"/>
      <c r="AB4" s="6"/>
      <c r="AC4" s="6"/>
      <c r="AD4" s="6"/>
      <c r="AE4" s="6"/>
      <c r="AF4" s="6"/>
      <c r="AG4" s="6"/>
      <c r="AH4" s="6"/>
      <c r="AI4" s="6"/>
      <c r="AJ4" s="6"/>
      <c r="AK4" s="6"/>
      <c r="AL4" s="6"/>
      <c r="AM4" s="6"/>
      <c r="AN4" s="6"/>
      <c r="AO4" s="6"/>
      <c r="AP4" s="6"/>
      <c r="AQ4" s="6"/>
      <c r="AR4" s="6"/>
      <c r="AS4" s="6"/>
      <c r="AT4" s="6"/>
      <c r="AU4" s="6"/>
    </row>
    <row r="5" spans="1:47" ht="22.5" customHeight="1">
      <c r="A5" s="2697" t="s">
        <v>622</v>
      </c>
      <c r="B5" s="2694"/>
      <c r="C5" s="287"/>
      <c r="D5" s="267"/>
      <c r="E5" s="264"/>
      <c r="F5" s="264"/>
      <c r="G5" s="268"/>
      <c r="H5" s="268"/>
      <c r="I5" s="268"/>
      <c r="J5" s="269"/>
      <c r="K5" s="269"/>
      <c r="O5" s="2" t="s">
        <v>17</v>
      </c>
      <c r="P5" s="2">
        <v>1</v>
      </c>
      <c r="R5" s="2" t="str">
        <f>Año_comienzo_Plan+3&amp;"/"&amp;Año_comienzo_Plan+4</f>
        <v>3/4</v>
      </c>
      <c r="U5" s="153"/>
    </row>
    <row r="6" spans="1:47" ht="16.5">
      <c r="A6" s="269"/>
      <c r="B6" s="286"/>
      <c r="C6" s="285"/>
      <c r="D6" s="265"/>
      <c r="E6" s="268"/>
      <c r="F6" s="268"/>
      <c r="G6" s="268"/>
      <c r="H6" s="268"/>
      <c r="I6" s="268"/>
      <c r="J6" s="269"/>
      <c r="K6" s="269"/>
      <c r="O6" s="2" t="s">
        <v>18</v>
      </c>
      <c r="P6" s="2">
        <v>2</v>
      </c>
      <c r="R6" s="2" t="str">
        <f>Año_comienzo_Plan+4&amp;"/"&amp;Año_comienzo_Plan+5</f>
        <v>4/5</v>
      </c>
      <c r="U6" s="153"/>
    </row>
    <row r="7" spans="1:47" ht="22.5" customHeight="1">
      <c r="A7" s="2697" t="s">
        <v>623</v>
      </c>
      <c r="B7" s="2695"/>
      <c r="C7" s="1601"/>
      <c r="D7" s="270"/>
      <c r="E7" s="268"/>
      <c r="F7" s="268"/>
      <c r="G7" s="268"/>
      <c r="H7" s="268"/>
      <c r="I7" s="268"/>
      <c r="J7" s="271"/>
      <c r="K7" s="271"/>
      <c r="L7" s="2"/>
      <c r="M7" s="2"/>
      <c r="O7" s="2" t="s">
        <v>23</v>
      </c>
      <c r="P7" s="2">
        <v>7</v>
      </c>
      <c r="R7" s="2" t="str">
        <f>Año_comienzo_Plan-1&amp;"/"&amp;Año_comienzo_Plan</f>
        <v>-1/</v>
      </c>
      <c r="U7" s="153"/>
    </row>
    <row r="8" spans="1:47" ht="16.5">
      <c r="A8" s="269"/>
      <c r="B8" s="287"/>
      <c r="C8" s="287"/>
      <c r="D8" s="267"/>
      <c r="E8" s="268"/>
      <c r="F8" s="268"/>
      <c r="G8" s="268"/>
      <c r="H8" s="268"/>
      <c r="I8" s="268"/>
      <c r="J8" s="269"/>
      <c r="K8" s="269"/>
      <c r="O8" s="2" t="s">
        <v>22</v>
      </c>
      <c r="P8" s="2">
        <v>6</v>
      </c>
      <c r="R8" s="134">
        <f>IF($B$9=$O$5,Año_comienzo_Plan-1,R7)</f>
        <v>-1</v>
      </c>
      <c r="U8" s="153"/>
    </row>
    <row r="9" spans="1:47" ht="22.5" customHeight="1">
      <c r="A9" s="2697" t="s">
        <v>624</v>
      </c>
      <c r="B9" s="2694" t="s">
        <v>569</v>
      </c>
      <c r="C9" s="287"/>
      <c r="D9" s="267"/>
      <c r="E9" s="272"/>
      <c r="F9" s="272"/>
      <c r="G9" s="272"/>
      <c r="H9" s="272"/>
      <c r="I9" s="272"/>
      <c r="J9" s="267"/>
      <c r="K9" s="267"/>
      <c r="L9" s="134"/>
      <c r="M9" s="134"/>
      <c r="O9" s="2" t="s">
        <v>19</v>
      </c>
      <c r="P9" s="2">
        <v>3</v>
      </c>
      <c r="U9" s="153"/>
    </row>
    <row r="10" spans="1:47" ht="16.5" hidden="1">
      <c r="A10" s="269"/>
      <c r="B10" s="287"/>
      <c r="C10" s="287"/>
      <c r="D10" s="267"/>
      <c r="E10" s="268"/>
      <c r="F10" s="268"/>
      <c r="G10" s="268"/>
      <c r="H10" s="268"/>
      <c r="I10" s="268"/>
      <c r="J10" s="269"/>
      <c r="K10" s="266"/>
      <c r="O10" s="2" t="s">
        <v>21</v>
      </c>
      <c r="P10" s="2">
        <v>5</v>
      </c>
      <c r="U10" s="153"/>
    </row>
    <row r="11" spans="1:47" ht="22.5" hidden="1" customHeight="1">
      <c r="A11" s="269" t="s">
        <v>228</v>
      </c>
      <c r="B11" s="287">
        <f>IF($B$9=$O$5,Año_comienzo_Plan,R2)</f>
        <v>0</v>
      </c>
      <c r="C11" s="287"/>
      <c r="D11" s="267"/>
      <c r="E11" s="272">
        <f>IF($B$11=R2,R3,Año_comienzo_Plan+1)</f>
        <v>1</v>
      </c>
      <c r="F11" s="272">
        <f>IF($B$11=R2,R4,Año_comienzo_Plan+2)</f>
        <v>2</v>
      </c>
      <c r="G11" s="272">
        <f>IF($B$11=R2,R5,Año_comienzo_Plan+3)</f>
        <v>3</v>
      </c>
      <c r="H11" s="272">
        <f>IF($B$11=R2,R6,Año_comienzo_Plan+4)</f>
        <v>4</v>
      </c>
      <c r="I11" s="272">
        <f>IF($B$11=S2,S6,Año_comienzo_Plan+5)</f>
        <v>0</v>
      </c>
      <c r="J11" s="268" t="str">
        <f>IF(B19="SI","SI","NO")</f>
        <v>NO</v>
      </c>
      <c r="K11" s="266"/>
      <c r="O11" s="2" t="s">
        <v>27</v>
      </c>
      <c r="P11" s="2">
        <v>11</v>
      </c>
      <c r="U11" s="153"/>
    </row>
    <row r="12" spans="1:47" ht="16.5" hidden="1">
      <c r="A12" s="269"/>
      <c r="B12" s="287"/>
      <c r="C12" s="287"/>
      <c r="D12" s="267"/>
      <c r="E12" s="268"/>
      <c r="F12" s="268"/>
      <c r="G12" s="268"/>
      <c r="H12" s="268"/>
      <c r="I12" s="268"/>
      <c r="J12" s="269"/>
      <c r="K12" s="266"/>
      <c r="O12" s="2" t="s">
        <v>26</v>
      </c>
      <c r="P12" s="2">
        <v>10</v>
      </c>
      <c r="U12" s="153"/>
    </row>
    <row r="13" spans="1:47" ht="22.5" hidden="1" customHeight="1">
      <c r="A13" s="2697" t="s">
        <v>220</v>
      </c>
      <c r="B13" s="2693"/>
      <c r="C13" s="1602"/>
      <c r="D13" s="273"/>
      <c r="E13" s="274"/>
      <c r="F13" s="275"/>
      <c r="G13" s="275"/>
      <c r="H13" s="275"/>
      <c r="I13" s="275"/>
      <c r="J13" s="275"/>
      <c r="K13" s="266"/>
      <c r="O13" s="2" t="s">
        <v>25</v>
      </c>
      <c r="P13" s="2">
        <v>9</v>
      </c>
      <c r="U13" s="153"/>
    </row>
    <row r="14" spans="1:47" ht="16.5">
      <c r="A14" s="269"/>
      <c r="B14" s="288"/>
      <c r="C14" s="1603"/>
      <c r="D14" s="276"/>
      <c r="E14" s="275"/>
      <c r="F14" s="275"/>
      <c r="G14" s="275"/>
      <c r="H14" s="275"/>
      <c r="I14" s="275"/>
      <c r="J14" s="275"/>
      <c r="K14" s="266"/>
    </row>
    <row r="15" spans="1:47" ht="22.5" customHeight="1">
      <c r="A15" s="2698" t="s">
        <v>138</v>
      </c>
      <c r="B15" s="2651">
        <v>0.25</v>
      </c>
      <c r="C15" s="289"/>
      <c r="D15" s="277"/>
      <c r="E15" s="275"/>
      <c r="F15" s="275"/>
      <c r="G15" s="275"/>
      <c r="H15" s="275"/>
      <c r="I15" s="275"/>
      <c r="J15" s="275"/>
      <c r="K15" s="266"/>
    </row>
    <row r="16" spans="1:47" ht="15.75" customHeight="1">
      <c r="A16" s="269"/>
      <c r="B16" s="289"/>
      <c r="C16" s="289"/>
      <c r="D16" s="277"/>
      <c r="E16" s="274"/>
      <c r="F16" s="275"/>
      <c r="G16" s="275"/>
      <c r="H16" s="275"/>
      <c r="I16" s="275"/>
      <c r="J16" s="275"/>
      <c r="K16" s="266"/>
    </row>
    <row r="17" spans="1:24" ht="31.5" customHeight="1">
      <c r="A17" s="2699" t="s">
        <v>625</v>
      </c>
      <c r="B17" s="2652">
        <v>0.21</v>
      </c>
      <c r="C17" s="1604"/>
      <c r="D17" s="278"/>
      <c r="E17" s="275"/>
      <c r="F17" s="275"/>
      <c r="G17" s="275"/>
      <c r="H17" s="275"/>
      <c r="I17" s="275"/>
      <c r="J17" s="275"/>
      <c r="K17" s="266"/>
    </row>
    <row r="18" spans="1:24" ht="15.75" customHeight="1">
      <c r="A18" s="269"/>
      <c r="B18" s="263"/>
      <c r="C18" s="263"/>
      <c r="D18" s="279"/>
      <c r="E18" s="275"/>
      <c r="F18" s="275"/>
      <c r="G18" s="275"/>
      <c r="H18" s="275"/>
      <c r="I18" s="275"/>
      <c r="J18" s="275"/>
      <c r="K18" s="280"/>
      <c r="L18" s="159"/>
    </row>
    <row r="19" spans="1:24" ht="15.75" hidden="1" customHeight="1">
      <c r="A19" s="269" t="s">
        <v>91</v>
      </c>
      <c r="B19" s="281" t="s">
        <v>558</v>
      </c>
      <c r="C19" s="281"/>
      <c r="D19" s="282"/>
      <c r="E19" s="274"/>
      <c r="F19" s="275"/>
      <c r="G19" s="275"/>
      <c r="H19" s="275"/>
      <c r="I19" s="275"/>
      <c r="J19" s="275"/>
      <c r="K19" s="266"/>
    </row>
    <row r="20" spans="1:24" ht="19.5" customHeight="1">
      <c r="A20" s="263"/>
      <c r="B20" s="283"/>
      <c r="C20" s="283"/>
      <c r="D20" s="283"/>
      <c r="E20" s="275"/>
      <c r="F20" s="275"/>
      <c r="G20" s="275"/>
      <c r="H20" s="275"/>
      <c r="I20" s="275"/>
      <c r="J20" s="275"/>
      <c r="K20" s="266"/>
    </row>
    <row r="21" spans="1:24" ht="17.25" thickBot="1">
      <c r="A21" s="263"/>
      <c r="B21" s="283"/>
      <c r="C21" s="283"/>
      <c r="D21" s="283"/>
      <c r="E21" s="263"/>
      <c r="F21" s="263"/>
      <c r="G21" s="284"/>
      <c r="H21" s="266"/>
      <c r="I21" s="269"/>
      <c r="J21" s="269"/>
      <c r="K21" s="269"/>
    </row>
    <row r="22" spans="1:24" ht="72.75" customHeight="1" thickBot="1">
      <c r="A22" s="6"/>
      <c r="B22" s="1802" t="s">
        <v>859</v>
      </c>
      <c r="C22" s="1772" t="s">
        <v>620</v>
      </c>
      <c r="D22" s="1592"/>
      <c r="E22" s="1803" t="s">
        <v>858</v>
      </c>
      <c r="F22" s="1773" t="s">
        <v>626</v>
      </c>
      <c r="H22" s="1803" t="s">
        <v>857</v>
      </c>
      <c r="I22" s="1773" t="s">
        <v>221</v>
      </c>
      <c r="K22" s="3343" t="s">
        <v>856</v>
      </c>
      <c r="L22" s="3344"/>
    </row>
    <row r="23" spans="1:24" ht="18" customHeight="1" thickBot="1">
      <c r="A23" s="2713"/>
      <c r="B23" s="3228" t="s">
        <v>770</v>
      </c>
      <c r="C23" s="1606"/>
      <c r="D23" s="1607"/>
      <c r="E23" s="3229" t="s">
        <v>855</v>
      </c>
      <c r="F23" s="1608"/>
      <c r="G23" s="1607"/>
      <c r="H23" s="3229" t="s">
        <v>855</v>
      </c>
      <c r="I23" s="1609"/>
      <c r="J23" s="1607"/>
      <c r="K23" s="3230" t="s">
        <v>627</v>
      </c>
      <c r="L23" s="3229" t="s">
        <v>517</v>
      </c>
    </row>
    <row r="24" spans="1:24">
      <c r="A24" s="6"/>
      <c r="B24" s="1774"/>
      <c r="C24" s="1775"/>
      <c r="D24" s="1605"/>
      <c r="E24" s="1782"/>
      <c r="F24" s="1783">
        <v>0.21</v>
      </c>
      <c r="H24" s="1782"/>
      <c r="I24" s="1790">
        <v>0.21</v>
      </c>
      <c r="K24" s="259">
        <f t="shared" ref="K24:K31" si="0">(E24-H24)</f>
        <v>0</v>
      </c>
      <c r="L24" s="1610" t="e">
        <f t="shared" ref="L24:L31" si="1">(K24/(E24))</f>
        <v>#DIV/0!</v>
      </c>
    </row>
    <row r="25" spans="1:24">
      <c r="B25" s="1776"/>
      <c r="C25" s="1777"/>
      <c r="D25" s="1605"/>
      <c r="E25" s="1784"/>
      <c r="F25" s="1785">
        <v>0.21</v>
      </c>
      <c r="H25" s="1784"/>
      <c r="I25" s="1791">
        <v>0.21</v>
      </c>
      <c r="K25" s="261">
        <f t="shared" si="0"/>
        <v>0</v>
      </c>
      <c r="L25" s="260" t="e">
        <f t="shared" si="1"/>
        <v>#DIV/0!</v>
      </c>
    </row>
    <row r="26" spans="1:24">
      <c r="B26" s="1776"/>
      <c r="C26" s="1777"/>
      <c r="D26" s="1605"/>
      <c r="E26" s="1784"/>
      <c r="F26" s="1785">
        <v>0.21</v>
      </c>
      <c r="H26" s="1784"/>
      <c r="I26" s="1791">
        <v>0.21</v>
      </c>
      <c r="K26" s="261">
        <f t="shared" si="0"/>
        <v>0</v>
      </c>
      <c r="L26" s="260" t="e">
        <f t="shared" si="1"/>
        <v>#DIV/0!</v>
      </c>
    </row>
    <row r="27" spans="1:24">
      <c r="B27" s="1776"/>
      <c r="C27" s="1777"/>
      <c r="D27" s="1605"/>
      <c r="E27" s="1784"/>
      <c r="F27" s="1785">
        <v>0.21</v>
      </c>
      <c r="H27" s="1784"/>
      <c r="I27" s="1791">
        <v>0.21</v>
      </c>
      <c r="K27" s="261">
        <f t="shared" si="0"/>
        <v>0</v>
      </c>
      <c r="L27" s="260" t="e">
        <f t="shared" si="1"/>
        <v>#DIV/0!</v>
      </c>
    </row>
    <row r="28" spans="1:24">
      <c r="B28" s="1778"/>
      <c r="C28" s="1779"/>
      <c r="D28" s="1605"/>
      <c r="E28" s="1786"/>
      <c r="F28" s="1787">
        <v>0.21</v>
      </c>
      <c r="H28" s="1786"/>
      <c r="I28" s="1792">
        <v>0.21</v>
      </c>
      <c r="K28" s="1658">
        <f t="shared" si="0"/>
        <v>0</v>
      </c>
      <c r="L28" s="1659" t="e">
        <f t="shared" si="1"/>
        <v>#DIV/0!</v>
      </c>
    </row>
    <row r="29" spans="1:24">
      <c r="B29" s="1776"/>
      <c r="C29" s="1777"/>
      <c r="D29" s="1605"/>
      <c r="E29" s="1784"/>
      <c r="F29" s="1785">
        <v>0.21</v>
      </c>
      <c r="H29" s="1784"/>
      <c r="I29" s="1791">
        <v>0.21</v>
      </c>
      <c r="K29" s="261">
        <f t="shared" si="0"/>
        <v>0</v>
      </c>
      <c r="L29" s="260" t="e">
        <f t="shared" si="1"/>
        <v>#DIV/0!</v>
      </c>
    </row>
    <row r="30" spans="1:24">
      <c r="B30" s="1776"/>
      <c r="C30" s="1777"/>
      <c r="D30" s="1605"/>
      <c r="E30" s="1784"/>
      <c r="F30" s="1785">
        <v>0.21</v>
      </c>
      <c r="H30" s="1784"/>
      <c r="I30" s="1791">
        <v>0.21</v>
      </c>
      <c r="K30" s="261">
        <f t="shared" si="0"/>
        <v>0</v>
      </c>
      <c r="L30" s="260" t="e">
        <f t="shared" si="1"/>
        <v>#DIV/0!</v>
      </c>
    </row>
    <row r="31" spans="1:24" ht="16.5" thickBot="1">
      <c r="B31" s="1780"/>
      <c r="C31" s="1781"/>
      <c r="D31" s="1605"/>
      <c r="E31" s="1788"/>
      <c r="F31" s="1789">
        <v>0.21</v>
      </c>
      <c r="H31" s="1788"/>
      <c r="I31" s="1793">
        <v>0.21</v>
      </c>
      <c r="K31" s="262">
        <f t="shared" si="0"/>
        <v>0</v>
      </c>
      <c r="L31" s="1951" t="e">
        <f t="shared" si="1"/>
        <v>#DIV/0!</v>
      </c>
    </row>
    <row r="32" spans="1:24" ht="14.25" customHeight="1">
      <c r="A32" s="268"/>
      <c r="B32" s="268"/>
      <c r="C32" s="268"/>
      <c r="D32" s="264"/>
      <c r="E32" s="268"/>
      <c r="F32" s="268"/>
      <c r="G32" s="268"/>
      <c r="H32" s="268"/>
      <c r="I32" s="268"/>
      <c r="J32" s="268"/>
      <c r="K32" s="268"/>
      <c r="L32" s="155"/>
      <c r="M32" s="155"/>
      <c r="N32" s="155"/>
      <c r="O32" s="155"/>
      <c r="P32" s="155"/>
      <c r="Q32" s="155"/>
      <c r="R32" s="155"/>
      <c r="S32" s="155"/>
      <c r="T32" s="155"/>
      <c r="U32" s="155"/>
      <c r="V32" s="155"/>
      <c r="W32" s="155"/>
      <c r="X32" s="155"/>
    </row>
    <row r="33" spans="1:24" ht="5.25" customHeight="1">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row>
    <row r="34" spans="1:24" hidden="1">
      <c r="A34" s="155"/>
      <c r="B34" s="166" t="s">
        <v>302</v>
      </c>
      <c r="C34" s="1593"/>
      <c r="D34" s="3238"/>
      <c r="E34" s="167"/>
      <c r="F34" s="168"/>
      <c r="G34" s="155"/>
      <c r="H34" s="155"/>
      <c r="I34" s="155"/>
      <c r="J34" s="155"/>
      <c r="K34" s="155"/>
      <c r="L34" s="155"/>
      <c r="M34" s="155"/>
      <c r="N34" s="155"/>
      <c r="O34" s="155"/>
      <c r="P34" s="155"/>
      <c r="Q34" s="155"/>
      <c r="R34" s="155"/>
      <c r="S34" s="155"/>
      <c r="T34" s="155"/>
      <c r="U34" s="155"/>
      <c r="V34" s="155"/>
      <c r="W34" s="155"/>
      <c r="X34" s="155"/>
    </row>
    <row r="35" spans="1:24" hidden="1">
      <c r="A35" s="155"/>
      <c r="B35" s="169" t="s">
        <v>313</v>
      </c>
      <c r="C35" s="1594"/>
      <c r="D35" s="3237"/>
      <c r="E35" s="3232"/>
      <c r="F35" s="170">
        <v>1</v>
      </c>
      <c r="G35" s="155"/>
      <c r="H35" s="155"/>
      <c r="I35" s="155"/>
      <c r="J35" s="155"/>
      <c r="K35" s="155"/>
      <c r="L35" s="155"/>
      <c r="M35" s="155"/>
      <c r="N35" s="155"/>
      <c r="O35" s="155"/>
      <c r="P35" s="155"/>
      <c r="Q35" s="155"/>
      <c r="R35" s="155"/>
      <c r="S35" s="155"/>
      <c r="T35" s="155"/>
      <c r="U35" s="155"/>
      <c r="V35" s="155"/>
      <c r="W35" s="155"/>
      <c r="X35" s="155"/>
    </row>
    <row r="36" spans="1:24" hidden="1">
      <c r="A36" s="155"/>
      <c r="B36" s="171" t="s">
        <v>310</v>
      </c>
      <c r="C36" s="1595"/>
      <c r="D36" s="3237"/>
      <c r="E36" s="3233"/>
      <c r="F36" s="172">
        <f>E35*E36</f>
        <v>0</v>
      </c>
      <c r="G36" s="155"/>
      <c r="H36" s="155"/>
      <c r="I36" s="155"/>
      <c r="J36" s="155"/>
      <c r="K36" s="155"/>
      <c r="L36" s="155"/>
      <c r="M36" s="155"/>
      <c r="N36" s="155"/>
      <c r="O36" s="155"/>
      <c r="P36" s="155"/>
      <c r="Q36" s="155"/>
      <c r="R36" s="155"/>
      <c r="S36" s="155"/>
      <c r="T36" s="155"/>
      <c r="U36" s="155"/>
      <c r="V36" s="155"/>
      <c r="W36" s="155"/>
      <c r="X36" s="155"/>
    </row>
    <row r="37" spans="1:24" hidden="1">
      <c r="A37" s="155"/>
      <c r="B37" s="173" t="s">
        <v>305</v>
      </c>
      <c r="C37" s="1596"/>
      <c r="D37" s="3237"/>
      <c r="E37" s="163"/>
      <c r="F37" s="174"/>
      <c r="G37" s="155"/>
      <c r="H37" s="155"/>
      <c r="I37" s="155"/>
      <c r="J37" s="155"/>
      <c r="K37" s="155"/>
      <c r="L37" s="155"/>
      <c r="M37" s="155"/>
      <c r="N37" s="155"/>
      <c r="O37" s="155"/>
      <c r="P37" s="155"/>
      <c r="Q37" s="155"/>
      <c r="R37" s="155"/>
      <c r="S37" s="155"/>
      <c r="T37" s="155"/>
      <c r="U37" s="155"/>
      <c r="V37" s="155"/>
      <c r="W37" s="155"/>
      <c r="X37" s="155"/>
    </row>
    <row r="38" spans="1:24" hidden="1">
      <c r="A38" s="155"/>
      <c r="B38" s="175" t="s">
        <v>312</v>
      </c>
      <c r="C38" s="1597"/>
      <c r="D38" s="3237"/>
      <c r="E38" s="3236">
        <f>(E35-E35*E36)</f>
        <v>0</v>
      </c>
      <c r="F38" s="176" t="str">
        <f>IF(E35=0,"",E38/E35)</f>
        <v/>
      </c>
      <c r="G38" s="155"/>
      <c r="H38" s="155"/>
      <c r="I38" s="155"/>
      <c r="J38" s="155"/>
      <c r="K38" s="155"/>
      <c r="L38" s="155"/>
      <c r="M38" s="155"/>
      <c r="N38" s="155"/>
      <c r="O38" s="155"/>
      <c r="P38" s="155"/>
      <c r="Q38" s="155"/>
      <c r="R38" s="155"/>
      <c r="S38" s="155"/>
      <c r="T38" s="155"/>
      <c r="U38" s="155"/>
      <c r="V38" s="155"/>
      <c r="W38" s="155"/>
      <c r="X38" s="155"/>
    </row>
    <row r="39" spans="1:24" hidden="1">
      <c r="A39" s="155"/>
      <c r="B39" s="177" t="s">
        <v>304</v>
      </c>
      <c r="C39" s="1598"/>
      <c r="D39" s="3239"/>
      <c r="E39" s="178"/>
      <c r="F39" s="179" t="str">
        <f>IF(E35=0,"",(E35/E38)-1)</f>
        <v/>
      </c>
      <c r="G39" s="155"/>
      <c r="H39" s="155"/>
      <c r="I39" s="155"/>
      <c r="J39" s="155"/>
      <c r="K39" s="155"/>
      <c r="L39" s="155"/>
      <c r="M39" s="155"/>
      <c r="N39" s="155"/>
      <c r="O39" s="155"/>
      <c r="P39" s="155"/>
      <c r="Q39" s="155"/>
      <c r="R39" s="155"/>
      <c r="S39" s="155"/>
      <c r="T39" s="155"/>
      <c r="U39" s="155"/>
      <c r="V39" s="155"/>
      <c r="W39" s="155"/>
      <c r="X39" s="155"/>
    </row>
    <row r="40" spans="1:24" hidden="1">
      <c r="A40" s="155"/>
      <c r="B40" s="155"/>
      <c r="C40" s="155"/>
      <c r="E40" s="155"/>
      <c r="F40" s="155"/>
      <c r="G40" s="155"/>
      <c r="H40" s="155"/>
      <c r="I40" s="155"/>
      <c r="J40" s="155"/>
      <c r="K40" s="155"/>
      <c r="L40" s="155"/>
      <c r="M40" s="155"/>
      <c r="N40" s="155"/>
      <c r="O40" s="155"/>
      <c r="P40" s="155"/>
      <c r="Q40" s="155"/>
      <c r="R40" s="155"/>
      <c r="S40" s="155"/>
      <c r="T40" s="155"/>
      <c r="U40" s="155"/>
      <c r="V40" s="155"/>
      <c r="W40" s="155"/>
      <c r="X40" s="155"/>
    </row>
    <row r="41" spans="1:24" hidden="1">
      <c r="A41" s="155"/>
      <c r="B41" s="166" t="s">
        <v>303</v>
      </c>
      <c r="C41" s="1593"/>
      <c r="D41" s="3238"/>
      <c r="E41" s="167"/>
      <c r="F41" s="168"/>
      <c r="G41" s="155"/>
      <c r="H41" s="155"/>
      <c r="I41" s="155"/>
      <c r="J41" s="155"/>
      <c r="K41" s="155"/>
      <c r="L41" s="155"/>
      <c r="M41" s="155"/>
      <c r="N41" s="155"/>
      <c r="O41" s="155"/>
      <c r="P41" s="155"/>
      <c r="Q41" s="155"/>
      <c r="R41" s="155"/>
      <c r="S41" s="155"/>
      <c r="T41" s="155"/>
      <c r="U41" s="155"/>
      <c r="V41" s="155"/>
      <c r="W41" s="155"/>
      <c r="X41" s="155"/>
    </row>
    <row r="42" spans="1:24" hidden="1">
      <c r="A42" s="155"/>
      <c r="B42" s="175" t="s">
        <v>314</v>
      </c>
      <c r="C42" s="1597"/>
      <c r="D42" s="3237"/>
      <c r="E42" s="3234"/>
      <c r="F42" s="176" t="str">
        <f>IF(E42=0,"",E42/E45)</f>
        <v/>
      </c>
      <c r="G42" s="155"/>
      <c r="H42" s="155"/>
      <c r="I42" s="155"/>
      <c r="J42" s="155"/>
      <c r="K42" s="155"/>
      <c r="L42" s="155"/>
      <c r="M42" s="155"/>
      <c r="N42" s="155"/>
      <c r="O42" s="155"/>
      <c r="P42" s="155"/>
      <c r="Q42" s="155"/>
      <c r="R42" s="155"/>
      <c r="S42" s="155"/>
      <c r="T42" s="155"/>
      <c r="U42" s="155"/>
      <c r="V42" s="155"/>
      <c r="W42" s="155"/>
      <c r="X42" s="155"/>
    </row>
    <row r="43" spans="1:24" hidden="1">
      <c r="A43" s="155"/>
      <c r="B43" s="180" t="s">
        <v>311</v>
      </c>
      <c r="C43" s="1599"/>
      <c r="D43" s="3237"/>
      <c r="E43" s="3235"/>
      <c r="F43" s="181"/>
      <c r="G43" s="155"/>
      <c r="H43" s="155"/>
      <c r="I43" s="155"/>
      <c r="J43" s="155"/>
      <c r="K43" s="155"/>
      <c r="L43" s="155"/>
      <c r="M43" s="155"/>
      <c r="N43" s="155"/>
      <c r="O43" s="155"/>
      <c r="P43" s="155"/>
      <c r="Q43" s="155"/>
      <c r="R43" s="155"/>
      <c r="S43" s="155"/>
      <c r="T43" s="155"/>
      <c r="U43" s="155"/>
      <c r="V43" s="155"/>
      <c r="W43" s="155"/>
      <c r="X43" s="155"/>
    </row>
    <row r="44" spans="1:24" hidden="1">
      <c r="A44" s="155"/>
      <c r="B44" s="173" t="s">
        <v>305</v>
      </c>
      <c r="C44" s="1596"/>
      <c r="D44" s="3237"/>
      <c r="E44" s="164"/>
      <c r="F44" s="182"/>
      <c r="G44" s="155"/>
      <c r="H44" s="155"/>
      <c r="I44" s="155"/>
      <c r="J44" s="155"/>
      <c r="K44" s="155"/>
      <c r="L44" s="155"/>
      <c r="M44" s="155"/>
      <c r="N44" s="155"/>
      <c r="O44" s="155"/>
      <c r="P44" s="155"/>
      <c r="Q44" s="155"/>
      <c r="R44" s="155"/>
      <c r="S44" s="155"/>
      <c r="T44" s="155"/>
      <c r="U44" s="155"/>
      <c r="V44" s="155"/>
      <c r="W44" s="155"/>
      <c r="X44" s="155"/>
    </row>
    <row r="45" spans="1:24" hidden="1">
      <c r="A45" s="155"/>
      <c r="B45" s="169" t="s">
        <v>306</v>
      </c>
      <c r="C45" s="1594"/>
      <c r="D45" s="3237"/>
      <c r="E45" s="165">
        <f>E42+E42*E43</f>
        <v>0</v>
      </c>
      <c r="F45" s="170">
        <v>1</v>
      </c>
      <c r="G45" s="155"/>
      <c r="H45" s="155"/>
      <c r="I45" s="155"/>
      <c r="J45" s="155"/>
      <c r="K45" s="155"/>
      <c r="L45" s="155"/>
      <c r="M45" s="155"/>
      <c r="N45" s="155"/>
      <c r="O45" s="155"/>
      <c r="P45" s="155"/>
      <c r="Q45" s="155"/>
      <c r="R45" s="155"/>
      <c r="S45" s="155"/>
      <c r="T45" s="155"/>
      <c r="U45" s="155"/>
      <c r="V45" s="155"/>
      <c r="W45" s="155"/>
      <c r="X45" s="155"/>
    </row>
    <row r="46" spans="1:24" hidden="1">
      <c r="A46" s="155"/>
      <c r="B46" s="183" t="s">
        <v>301</v>
      </c>
      <c r="C46" s="1600"/>
      <c r="D46" s="3239"/>
      <c r="E46" s="184">
        <f>E45-E42</f>
        <v>0</v>
      </c>
      <c r="F46" s="185" t="str">
        <f>IF(E45=0,"",E46/E45)</f>
        <v/>
      </c>
      <c r="G46" s="155"/>
      <c r="H46" s="155"/>
      <c r="I46" s="155"/>
      <c r="J46" s="155"/>
      <c r="K46" s="155"/>
      <c r="L46" s="155"/>
      <c r="M46" s="155"/>
      <c r="N46" s="155"/>
      <c r="O46" s="155"/>
      <c r="P46" s="155"/>
      <c r="Q46" s="155"/>
      <c r="R46" s="155"/>
      <c r="S46" s="155"/>
      <c r="T46" s="155"/>
      <c r="U46" s="155"/>
      <c r="V46" s="155"/>
      <c r="W46" s="155"/>
      <c r="X46" s="155"/>
    </row>
    <row r="47" spans="1:24" s="2937" customFormat="1" ht="8.25" customHeight="1">
      <c r="A47" s="2936"/>
      <c r="B47" s="2936"/>
      <c r="C47" s="2936"/>
      <c r="D47" s="2936"/>
      <c r="E47" s="2936"/>
      <c r="F47" s="2936"/>
      <c r="G47" s="2936"/>
      <c r="H47" s="2936"/>
      <c r="I47" s="2936"/>
      <c r="J47" s="2936"/>
      <c r="K47" s="2936"/>
      <c r="L47" s="2936"/>
      <c r="M47" s="2936"/>
      <c r="N47" s="2936"/>
      <c r="O47" s="2936"/>
      <c r="P47" s="2936"/>
      <c r="Q47" s="2936"/>
      <c r="R47" s="2936"/>
      <c r="S47" s="2936"/>
      <c r="T47" s="2936"/>
      <c r="U47" s="2936"/>
      <c r="V47" s="2936"/>
      <c r="W47" s="2936"/>
      <c r="X47" s="2936"/>
    </row>
    <row r="48" spans="1:24" ht="7.5" customHeight="1">
      <c r="A48" s="258"/>
      <c r="B48" s="258"/>
      <c r="K48" s="155"/>
      <c r="L48" s="155"/>
      <c r="M48" s="155"/>
      <c r="N48" s="155"/>
      <c r="O48" s="155"/>
      <c r="P48" s="155"/>
      <c r="Q48" s="155"/>
      <c r="R48" s="155"/>
      <c r="S48" s="155"/>
      <c r="T48" s="155"/>
      <c r="U48" s="155"/>
      <c r="V48" s="155"/>
      <c r="W48" s="155"/>
      <c r="X48" s="155"/>
    </row>
    <row r="49" spans="1:24">
      <c r="A49" s="258"/>
      <c r="K49" s="155"/>
      <c r="L49" s="155"/>
      <c r="M49" s="155"/>
      <c r="N49" s="155"/>
      <c r="O49" s="155"/>
      <c r="P49" s="155"/>
      <c r="Q49" s="155"/>
      <c r="R49" s="155"/>
      <c r="S49" s="155"/>
      <c r="T49" s="155"/>
      <c r="U49" s="155"/>
      <c r="V49" s="155"/>
      <c r="W49" s="155"/>
      <c r="X49" s="155"/>
    </row>
    <row r="50" spans="1:24">
      <c r="A50" s="258"/>
      <c r="K50" s="155"/>
      <c r="L50" s="155"/>
      <c r="M50" s="155"/>
      <c r="N50" s="155"/>
      <c r="O50" s="155"/>
      <c r="P50" s="155"/>
      <c r="Q50" s="155"/>
      <c r="R50" s="155"/>
      <c r="S50" s="155"/>
      <c r="T50" s="155"/>
      <c r="U50" s="155"/>
      <c r="V50" s="155"/>
      <c r="W50" s="155"/>
      <c r="X50" s="155"/>
    </row>
    <row r="51" spans="1:24">
      <c r="A51" s="258"/>
      <c r="K51" s="155"/>
      <c r="L51" s="155"/>
      <c r="M51" s="155"/>
      <c r="N51" s="155"/>
      <c r="O51" s="155"/>
      <c r="P51" s="155"/>
      <c r="Q51" s="155"/>
      <c r="R51" s="155"/>
      <c r="S51" s="155"/>
      <c r="T51" s="155"/>
      <c r="U51" s="155"/>
      <c r="V51" s="155"/>
      <c r="W51" s="155"/>
      <c r="X51" s="155"/>
    </row>
    <row r="52" spans="1:24">
      <c r="A52" s="258"/>
      <c r="K52" s="155"/>
      <c r="L52" s="155"/>
      <c r="M52" s="155"/>
      <c r="N52" s="155"/>
      <c r="O52" s="155"/>
      <c r="P52" s="155"/>
      <c r="Q52" s="155"/>
      <c r="R52" s="155"/>
      <c r="S52" s="155"/>
      <c r="T52" s="155"/>
      <c r="U52" s="155"/>
      <c r="V52" s="155"/>
      <c r="W52" s="155"/>
      <c r="X52" s="155"/>
    </row>
    <row r="53" spans="1:24">
      <c r="A53" s="258"/>
      <c r="K53" s="155"/>
      <c r="L53" s="155"/>
      <c r="M53" s="155"/>
      <c r="N53" s="155"/>
      <c r="O53" s="155"/>
      <c r="P53" s="155"/>
      <c r="Q53" s="155"/>
      <c r="R53" s="155"/>
      <c r="S53" s="155"/>
      <c r="T53" s="155"/>
      <c r="U53" s="155"/>
      <c r="V53" s="155"/>
      <c r="W53" s="155"/>
      <c r="X53" s="155"/>
    </row>
    <row r="54" spans="1:24">
      <c r="A54" s="258"/>
      <c r="K54" s="155"/>
      <c r="L54" s="155"/>
      <c r="M54" s="155"/>
      <c r="N54" s="155"/>
      <c r="O54" s="155"/>
      <c r="P54" s="155"/>
      <c r="Q54" s="155"/>
      <c r="R54" s="155"/>
      <c r="S54" s="155"/>
      <c r="T54" s="155"/>
      <c r="U54" s="155"/>
      <c r="V54" s="155"/>
      <c r="W54" s="155"/>
      <c r="X54" s="155"/>
    </row>
    <row r="55" spans="1:24">
      <c r="A55" s="258"/>
      <c r="K55" s="155"/>
      <c r="L55" s="155"/>
      <c r="M55" s="155"/>
      <c r="N55" s="155"/>
      <c r="O55" s="155"/>
      <c r="P55" s="155"/>
      <c r="Q55" s="155"/>
      <c r="R55" s="155"/>
      <c r="S55" s="155"/>
      <c r="T55" s="155"/>
      <c r="U55" s="155"/>
      <c r="V55" s="155"/>
      <c r="W55" s="155"/>
      <c r="X55" s="155"/>
    </row>
    <row r="56" spans="1:24">
      <c r="A56" s="258"/>
      <c r="K56" s="155"/>
      <c r="L56" s="155"/>
      <c r="M56" s="155"/>
      <c r="N56" s="155"/>
      <c r="O56" s="155"/>
      <c r="P56" s="155"/>
      <c r="Q56" s="155"/>
      <c r="R56" s="155"/>
      <c r="S56" s="155"/>
      <c r="T56" s="155"/>
      <c r="U56" s="155"/>
      <c r="V56" s="155"/>
      <c r="W56" s="155"/>
      <c r="X56" s="155"/>
    </row>
    <row r="57" spans="1:24">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row>
    <row r="58" spans="1:24">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row>
    <row r="59" spans="1:24">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row>
    <row r="60" spans="1:24">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row>
    <row r="61" spans="1:24">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row>
    <row r="62" spans="1:24">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row>
    <row r="63" spans="1:24">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row>
    <row r="64" spans="1:24">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row>
  </sheetData>
  <sheetProtection sheet="1" formatColumns="0" formatRows="0"/>
  <mergeCells count="2">
    <mergeCell ref="K22:L22"/>
    <mergeCell ref="A1:F1"/>
  </mergeCells>
  <phoneticPr fontId="9" type="noConversion"/>
  <conditionalFormatting sqref="L24:L31">
    <cfRule type="expression" dxfId="334" priority="1" stopIfTrue="1">
      <formula>ISERROR(L24)=TRUE</formula>
    </cfRule>
  </conditionalFormatting>
  <dataValidations xWindow="682" yWindow="567" count="1">
    <dataValidation allowBlank="1" showInputMessage="1" sqref="H24:H31 F4:J12 E16 E19 E21:J21 E22 H22 F22:F31 C22 I22:I31 B24:E31 B57:J65530 A48:A65530 L3:L21 B22:B23 K1:L2 A1:D21 E4:E13 E1:J3 K3:K65530 L23:L65530 M1:IV1048576 B48 G32:J47 E34:F46 A32:F33 A47:F47 A34:C46"/>
  </dataValidations>
  <printOptions horizontalCentered="1" verticalCentered="1"/>
  <pageMargins left="0.78740157480314965" right="0.59055118110236227" top="0.78740157480314965" bottom="0.6692913385826772" header="0" footer="0.35433070866141736"/>
  <pageSetup paperSize="9" scale="57" orientation="landscape" horizontalDpi="4294967293" verticalDpi="300" r:id="rId1"/>
  <headerFooter alignWithMargins="0">
    <oddFoote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AS140"/>
  <sheetViews>
    <sheetView showGridLines="0" zoomScale="70" zoomScaleNormal="70" zoomScaleSheetLayoutView="50" workbookViewId="0">
      <pane xSplit="3" topLeftCell="D1" activePane="topRight" state="frozen"/>
      <selection activeCell="D8" sqref="D8"/>
      <selection pane="topRight" activeCell="D25" sqref="D25"/>
    </sheetView>
  </sheetViews>
  <sheetFormatPr baseColWidth="10" defaultColWidth="11.1640625" defaultRowHeight="15.75"/>
  <cols>
    <col min="1" max="1" width="30.33203125" style="4" customWidth="1"/>
    <col min="2" max="2" width="13.6640625" style="4" customWidth="1"/>
    <col min="3" max="3" width="26.33203125" style="90" customWidth="1"/>
    <col min="4" max="4" width="17.6640625" style="1" customWidth="1"/>
    <col min="5" max="5" width="19" style="1" customWidth="1"/>
    <col min="6" max="9" width="17.83203125" style="1" customWidth="1"/>
    <col min="10" max="10" width="17.6640625" style="1" customWidth="1"/>
    <col min="11" max="15" width="17.83203125" style="1" customWidth="1"/>
    <col min="16" max="16" width="19.6640625" style="4" customWidth="1"/>
    <col min="17" max="17" width="6.5" style="1" customWidth="1"/>
    <col min="18" max="18" width="16.6640625" style="1" customWidth="1"/>
    <col min="19" max="19" width="8.83203125" style="1" customWidth="1"/>
    <col min="20" max="20" width="1.6640625" style="1829" customWidth="1"/>
    <col min="21" max="21" width="13.33203125" style="1" customWidth="1"/>
    <col min="22" max="22" width="13.6640625" style="1" customWidth="1"/>
    <col min="23" max="32" width="17.5" style="1" customWidth="1"/>
    <col min="33" max="33" width="20.83203125" style="1" customWidth="1"/>
    <col min="34" max="34" width="20.6640625" style="1" customWidth="1"/>
    <col min="35" max="35" width="19.1640625" style="1" customWidth="1"/>
    <col min="36" max="36" width="5" style="1" customWidth="1"/>
    <col min="37" max="37" width="16.6640625" style="1" customWidth="1"/>
    <col min="38" max="43" width="11.1640625" style="1"/>
    <col min="44" max="45" width="0" style="1" hidden="1" customWidth="1"/>
    <col min="46" max="16384" width="11.1640625" style="1"/>
  </cols>
  <sheetData>
    <row r="1" spans="1:45" ht="16.5" customHeight="1"/>
    <row r="2" spans="1:45" ht="16.5" customHeight="1">
      <c r="A2" s="132" t="str">
        <f>IF('1.Datos Básicos. Product-Serv'!B5=0,"",'1.Datos Básicos. Product-Serv'!B5)</f>
        <v/>
      </c>
      <c r="B2" s="132"/>
      <c r="J2" s="136"/>
    </row>
    <row r="3" spans="1:45" ht="31.5" customHeight="1">
      <c r="A3" s="1648"/>
      <c r="B3" s="1648"/>
      <c r="C3" s="3350" t="s">
        <v>773</v>
      </c>
      <c r="D3" s="3347"/>
      <c r="E3" s="3347"/>
      <c r="F3" s="3347"/>
      <c r="G3" s="3347"/>
      <c r="H3" s="3347"/>
      <c r="I3" s="3347"/>
      <c r="J3" s="3347"/>
      <c r="K3" s="3347"/>
      <c r="L3" s="3347"/>
      <c r="M3" s="3347"/>
      <c r="N3" s="3347"/>
      <c r="O3" s="3347"/>
      <c r="P3" s="1643"/>
      <c r="Q3" s="1643"/>
      <c r="R3" s="1643"/>
      <c r="W3" s="3350" t="s">
        <v>644</v>
      </c>
      <c r="X3" s="3351"/>
      <c r="Y3" s="3351"/>
      <c r="Z3" s="3351"/>
      <c r="AA3" s="3351"/>
      <c r="AB3" s="3352"/>
      <c r="AC3" s="3352"/>
      <c r="AD3" s="3352"/>
      <c r="AE3" s="3352"/>
      <c r="AF3" s="3352"/>
      <c r="AG3" s="3352"/>
      <c r="AH3" s="3352"/>
      <c r="AI3" s="136"/>
      <c r="AJ3" s="136"/>
      <c r="AK3" s="136"/>
    </row>
    <row r="4" spans="1:45" ht="25.5" customHeight="1">
      <c r="A4" s="1648"/>
      <c r="B4" s="1648"/>
      <c r="C4" s="1649"/>
      <c r="E4" s="159"/>
      <c r="F4" s="159"/>
      <c r="G4" s="159"/>
      <c r="H4" s="159"/>
      <c r="I4" s="1722" t="str">
        <f>"1º Ejercicio "&amp;'1.Datos Básicos. Product-Serv'!B11</f>
        <v>1º Ejercicio 0</v>
      </c>
      <c r="J4" s="136"/>
      <c r="K4" s="136"/>
      <c r="L4" s="136"/>
      <c r="M4" s="136"/>
      <c r="N4" s="136"/>
      <c r="O4" s="136"/>
      <c r="P4" s="1643"/>
      <c r="W4" s="1645"/>
      <c r="X4" s="159"/>
      <c r="Y4" s="159"/>
      <c r="Z4" s="159"/>
      <c r="AA4" s="159"/>
      <c r="AB4" s="1657" t="str">
        <f>"2º Ejercicio "&amp;'1.Datos Básicos. Product-Serv'!E11</f>
        <v>2º Ejercicio 1</v>
      </c>
      <c r="AC4" s="136"/>
      <c r="AD4" s="136"/>
      <c r="AE4" s="136"/>
      <c r="AF4" s="136"/>
      <c r="AG4" s="136"/>
      <c r="AH4" s="136"/>
    </row>
    <row r="5" spans="1:45" ht="12.75" customHeight="1">
      <c r="B5" s="1643"/>
      <c r="C5" s="1"/>
      <c r="D5" s="1611"/>
      <c r="G5" s="241"/>
      <c r="L5" s="136"/>
      <c r="O5" s="4"/>
      <c r="U5" s="145"/>
      <c r="V5" s="145"/>
      <c r="W5" s="1122"/>
      <c r="Z5" s="241"/>
      <c r="AE5" s="136"/>
      <c r="AH5" s="4"/>
      <c r="AI5" s="4"/>
    </row>
    <row r="6" spans="1:45" ht="18.75" customHeight="1" thickBot="1">
      <c r="A6" s="2700"/>
      <c r="B6" s="1667"/>
      <c r="C6" s="1668" t="s">
        <v>243</v>
      </c>
      <c r="D6" s="1669"/>
      <c r="E6" s="1798">
        <v>0</v>
      </c>
      <c r="F6" s="1798">
        <f>E6</f>
        <v>0</v>
      </c>
      <c r="G6" s="1798">
        <f t="shared" ref="G6:O6" si="0">F6</f>
        <v>0</v>
      </c>
      <c r="H6" s="1798">
        <f t="shared" si="0"/>
        <v>0</v>
      </c>
      <c r="I6" s="1798">
        <f t="shared" si="0"/>
        <v>0</v>
      </c>
      <c r="J6" s="1798">
        <f t="shared" si="0"/>
        <v>0</v>
      </c>
      <c r="K6" s="1798">
        <f t="shared" si="0"/>
        <v>0</v>
      </c>
      <c r="L6" s="1798">
        <f t="shared" si="0"/>
        <v>0</v>
      </c>
      <c r="M6" s="1798">
        <f t="shared" si="0"/>
        <v>0</v>
      </c>
      <c r="N6" s="1798">
        <f t="shared" si="0"/>
        <v>0</v>
      </c>
      <c r="O6" s="1799">
        <f t="shared" si="0"/>
        <v>0</v>
      </c>
      <c r="P6" s="291"/>
      <c r="U6" s="145"/>
      <c r="V6" s="145"/>
      <c r="W6" s="1812">
        <f>O6</f>
        <v>0</v>
      </c>
      <c r="X6" s="1813">
        <f>W6</f>
        <v>0</v>
      </c>
      <c r="Y6" s="1813">
        <f>X6</f>
        <v>0</v>
      </c>
      <c r="Z6" s="1813">
        <f t="shared" ref="Z6:AH6" si="1">Y6</f>
        <v>0</v>
      </c>
      <c r="AA6" s="1813">
        <f t="shared" si="1"/>
        <v>0</v>
      </c>
      <c r="AB6" s="1813">
        <f t="shared" si="1"/>
        <v>0</v>
      </c>
      <c r="AC6" s="1813">
        <f t="shared" si="1"/>
        <v>0</v>
      </c>
      <c r="AD6" s="1813">
        <f t="shared" si="1"/>
        <v>0</v>
      </c>
      <c r="AE6" s="1813">
        <f t="shared" si="1"/>
        <v>0</v>
      </c>
      <c r="AF6" s="1813">
        <f t="shared" si="1"/>
        <v>0</v>
      </c>
      <c r="AG6" s="1813">
        <f t="shared" si="1"/>
        <v>0</v>
      </c>
      <c r="AH6" s="1814">
        <f t="shared" si="1"/>
        <v>0</v>
      </c>
      <c r="AI6" s="291"/>
    </row>
    <row r="7" spans="1:45" ht="6" customHeight="1" thickTop="1" thickBot="1">
      <c r="A7" s="290"/>
      <c r="B7" s="290"/>
      <c r="C7" s="1619"/>
      <c r="D7" s="1646"/>
      <c r="E7" s="1647"/>
      <c r="F7" s="1647"/>
      <c r="G7" s="1647"/>
      <c r="H7" s="1647"/>
      <c r="I7" s="1647"/>
      <c r="J7" s="1647"/>
      <c r="K7" s="1647"/>
      <c r="L7" s="1647"/>
      <c r="M7" s="1647"/>
      <c r="N7" s="1647"/>
      <c r="O7" s="1647"/>
      <c r="P7" s="291"/>
      <c r="U7" s="145"/>
      <c r="V7" s="145"/>
      <c r="W7" s="1647"/>
      <c r="X7" s="1647"/>
      <c r="Y7" s="1647"/>
      <c r="Z7" s="1647"/>
      <c r="AA7" s="1647"/>
      <c r="AB7" s="1647"/>
      <c r="AC7" s="1647"/>
      <c r="AD7" s="1647"/>
      <c r="AE7" s="1647"/>
      <c r="AF7" s="1647"/>
      <c r="AG7" s="1647"/>
      <c r="AH7" s="1647"/>
      <c r="AI7" s="291"/>
    </row>
    <row r="8" spans="1:45" s="92" customFormat="1" ht="54" customHeight="1" thickTop="1" thickBot="1">
      <c r="A8" s="1804" t="s">
        <v>0</v>
      </c>
      <c r="B8" s="1805" t="s">
        <v>648</v>
      </c>
      <c r="C8" s="1806"/>
      <c r="D8" s="1807" t="str">
        <f>LOOKUP('2.Ventas y Cobros (Ej 1º,2º)'!AR22,'2.Ventas y Cobros (Ej 1º,2º)'!AR8:AS20)</f>
        <v>Enero</v>
      </c>
      <c r="E8" s="2714" t="str">
        <f>LOOKUP(IF(('2.Ventas y Cobros (Ej 1º,2º)'!$AR$22+1)&lt;13,'2.Ventas y Cobros (Ej 1º,2º)'!$AR$22+1,'2.Ventas y Cobros (Ej 1º,2º)'!$AR$22+1-12),'2.Ventas y Cobros (Ej 1º,2º)'!$AR$8:$AS$20)</f>
        <v>Febrero</v>
      </c>
      <c r="F8" s="2714" t="str">
        <f>LOOKUP(IF(('2.Ventas y Cobros (Ej 1º,2º)'!$AR$22+2)&lt;13,'2.Ventas y Cobros (Ej 1º,2º)'!$AR$22+2,'2.Ventas y Cobros (Ej 1º,2º)'!$AR$22+2-12),'2.Ventas y Cobros (Ej 1º,2º)'!$AR$8:$AS$20)</f>
        <v>Marzo</v>
      </c>
      <c r="G8" s="2714" t="str">
        <f>LOOKUP(IF(('2.Ventas y Cobros (Ej 1º,2º)'!$AR$22+3)&lt;13,'2.Ventas y Cobros (Ej 1º,2º)'!$AR$22+3,'2.Ventas y Cobros (Ej 1º,2º)'!$AR$22+3-12),'2.Ventas y Cobros (Ej 1º,2º)'!$AR$8:$AS$20)</f>
        <v>Abril</v>
      </c>
      <c r="H8" s="2714" t="str">
        <f>LOOKUP(IF(('2.Ventas y Cobros (Ej 1º,2º)'!$AR$22+4)&lt;13,'2.Ventas y Cobros (Ej 1º,2º)'!$AR$22+4,'2.Ventas y Cobros (Ej 1º,2º)'!$AR$22+4-12),'2.Ventas y Cobros (Ej 1º,2º)'!$AR$8:$AS$20)</f>
        <v>Mayo</v>
      </c>
      <c r="I8" s="2714" t="str">
        <f>LOOKUP(IF(('2.Ventas y Cobros (Ej 1º,2º)'!$AR$22+5)&lt;13,'2.Ventas y Cobros (Ej 1º,2º)'!$AR$22+5,'2.Ventas y Cobros (Ej 1º,2º)'!$AR$22+5-12),'2.Ventas y Cobros (Ej 1º,2º)'!$AR$8:$AS$20)</f>
        <v>Junio</v>
      </c>
      <c r="J8" s="2714" t="str">
        <f>LOOKUP(IF(('2.Ventas y Cobros (Ej 1º,2º)'!$AR$22+6)&lt;13,'2.Ventas y Cobros (Ej 1º,2º)'!$AR$22+6,'2.Ventas y Cobros (Ej 1º,2º)'!$AR$22+6-12),'2.Ventas y Cobros (Ej 1º,2º)'!$AR$8:$AS$20)</f>
        <v>Julio</v>
      </c>
      <c r="K8" s="2714" t="str">
        <f>LOOKUP(IF(('2.Ventas y Cobros (Ej 1º,2º)'!$AR$22+7)&lt;13,'2.Ventas y Cobros (Ej 1º,2º)'!$AR$22+7,'2.Ventas y Cobros (Ej 1º,2º)'!$AR$22+7-12),'2.Ventas y Cobros (Ej 1º,2º)'!$AR$8:$AS$20)</f>
        <v>Agosto</v>
      </c>
      <c r="L8" s="2714" t="str">
        <f>LOOKUP(IF(('2.Ventas y Cobros (Ej 1º,2º)'!$AR$22+8)&lt;13,'2.Ventas y Cobros (Ej 1º,2º)'!$AR$22+8,'2.Ventas y Cobros (Ej 1º,2º)'!$AR$22+8-12),'2.Ventas y Cobros (Ej 1º,2º)'!$AR$8:$AS$20)</f>
        <v>Septiembre</v>
      </c>
      <c r="M8" s="2714" t="str">
        <f>LOOKUP(IF(('2.Ventas y Cobros (Ej 1º,2º)'!$AR$22+9)&lt;13,'2.Ventas y Cobros (Ej 1º,2º)'!$AR$22+9,'2.Ventas y Cobros (Ej 1º,2º)'!$AR$22+9-12),'2.Ventas y Cobros (Ej 1º,2º)'!$AR$8:$AS$20)</f>
        <v>Octubre</v>
      </c>
      <c r="N8" s="2714" t="str">
        <f>LOOKUP(IF(('2.Ventas y Cobros (Ej 1º,2º)'!$AR$22+10)&lt;13,'2.Ventas y Cobros (Ej 1º,2º)'!$AR$22+10,'2.Ventas y Cobros (Ej 1º,2º)'!$AR$22+10-12),'2.Ventas y Cobros (Ej 1º,2º)'!$AR$8:$AS$20)</f>
        <v>Noviembre</v>
      </c>
      <c r="O8" s="1807" t="str">
        <f>LOOKUP(IF(('2.Ventas y Cobros (Ej 1º,2º)'!$AR$22+11)&lt;13,'2.Ventas y Cobros (Ej 1º,2º)'!$AR$22+11,'2.Ventas y Cobros (Ej 1º,2º)'!$AR$22+11-12),'2.Ventas y Cobros (Ej 1º,2º)'!$AR$8:$AS$20)</f>
        <v>Diciembre</v>
      </c>
      <c r="P8" s="1808" t="s">
        <v>16</v>
      </c>
      <c r="R8" s="1805" t="s">
        <v>635</v>
      </c>
      <c r="T8" s="1830"/>
      <c r="U8" s="233"/>
      <c r="V8" s="146"/>
      <c r="W8" s="1804" t="str">
        <f>Enero</f>
        <v>Enero</v>
      </c>
      <c r="X8" s="2714" t="str">
        <f>LOOKUP(IF(('2.Ventas y Cobros (Ej 1º,2º)'!$AR$22+1)&lt;13,'2.Ventas y Cobros (Ej 1º,2º)'!$AR$22+1,'2.Ventas y Cobros (Ej 1º,2º)'!$AR$22+1-12),'2.Ventas y Cobros (Ej 1º,2º)'!$AR$8:$AS$20)</f>
        <v>Febrero</v>
      </c>
      <c r="Y8" s="2714" t="str">
        <f>LOOKUP(IF(('2.Ventas y Cobros (Ej 1º,2º)'!$AR$22+2)&lt;13,'2.Ventas y Cobros (Ej 1º,2º)'!$AR$22+2,'2.Ventas y Cobros (Ej 1º,2º)'!$AR$22+2-12),'2.Ventas y Cobros (Ej 1º,2º)'!$AR$8:$AS$20)</f>
        <v>Marzo</v>
      </c>
      <c r="Z8" s="2714" t="str">
        <f>LOOKUP(IF(('2.Ventas y Cobros (Ej 1º,2º)'!$AR$22+3)&lt;13,'2.Ventas y Cobros (Ej 1º,2º)'!$AR$22+3,'2.Ventas y Cobros (Ej 1º,2º)'!$AR$22+3-12),'2.Ventas y Cobros (Ej 1º,2º)'!$AR$8:$AS$20)</f>
        <v>Abril</v>
      </c>
      <c r="AA8" s="2714" t="str">
        <f>LOOKUP(IF(('2.Ventas y Cobros (Ej 1º,2º)'!$AR$22+4)&lt;13,'2.Ventas y Cobros (Ej 1º,2º)'!$AR$22+4,'2.Ventas y Cobros (Ej 1º,2º)'!$AR$22+4-12),'2.Ventas y Cobros (Ej 1º,2º)'!$AR$8:$AS$20)</f>
        <v>Mayo</v>
      </c>
      <c r="AB8" s="2714" t="str">
        <f>LOOKUP(IF(('2.Ventas y Cobros (Ej 1º,2º)'!$AR$22+5)&lt;13,'2.Ventas y Cobros (Ej 1º,2º)'!$AR$22+5,'2.Ventas y Cobros (Ej 1º,2º)'!$AR$22+5-12),'2.Ventas y Cobros (Ej 1º,2º)'!$AR$8:$AS$20)</f>
        <v>Junio</v>
      </c>
      <c r="AC8" s="2714" t="str">
        <f>LOOKUP(IF(('2.Ventas y Cobros (Ej 1º,2º)'!$AR$22+6)&lt;13,'2.Ventas y Cobros (Ej 1º,2º)'!$AR$22+6,'2.Ventas y Cobros (Ej 1º,2º)'!$AR$22+6-12),'2.Ventas y Cobros (Ej 1º,2º)'!$AR$8:$AS$20)</f>
        <v>Julio</v>
      </c>
      <c r="AD8" s="2714" t="str">
        <f>LOOKUP(IF(('2.Ventas y Cobros (Ej 1º,2º)'!$AR$22+7)&lt;13,'2.Ventas y Cobros (Ej 1º,2º)'!$AR$22+7,'2.Ventas y Cobros (Ej 1º,2º)'!$AR$22+7-12),'2.Ventas y Cobros (Ej 1º,2º)'!$AR$8:$AS$20)</f>
        <v>Agosto</v>
      </c>
      <c r="AE8" s="2714" t="str">
        <f>LOOKUP(IF(('2.Ventas y Cobros (Ej 1º,2º)'!$AR$22+8)&lt;13,'2.Ventas y Cobros (Ej 1º,2º)'!$AR$22+8,'2.Ventas y Cobros (Ej 1º,2º)'!$AR$22+8-12),'2.Ventas y Cobros (Ej 1º,2º)'!$AR$8:$AS$20)</f>
        <v>Septiembre</v>
      </c>
      <c r="AF8" s="2714" t="str">
        <f>LOOKUP(IF(('2.Ventas y Cobros (Ej 1º,2º)'!$AR$22+9)&lt;13,'2.Ventas y Cobros (Ej 1º,2º)'!$AR$22+9,'2.Ventas y Cobros (Ej 1º,2º)'!$AR$22+9-12),'2.Ventas y Cobros (Ej 1º,2º)'!$AR$8:$AS$20)</f>
        <v>Octubre</v>
      </c>
      <c r="AG8" s="2714" t="str">
        <f>LOOKUP(IF(('2.Ventas y Cobros (Ej 1º,2º)'!$AR$22+10)&lt;13,'2.Ventas y Cobros (Ej 1º,2º)'!$AR$22+10,'2.Ventas y Cobros (Ej 1º,2º)'!$AR$22+10-12),'2.Ventas y Cobros (Ej 1º,2º)'!$AR$8:$AS$20)</f>
        <v>Noviembre</v>
      </c>
      <c r="AH8" s="1807" t="str">
        <f>LOOKUP(IF(('2.Ventas y Cobros (Ej 1º,2º)'!$AR$22+11)&lt;13,'2.Ventas y Cobros (Ej 1º,2º)'!$AR$22+11,'2.Ventas y Cobros (Ej 1º,2º)'!$AR$22+11-12),'2.Ventas y Cobros (Ej 1º,2º)'!$AR$8:$AS$20)</f>
        <v>Diciembre</v>
      </c>
      <c r="AI8" s="1808" t="s">
        <v>16</v>
      </c>
      <c r="AK8" s="1805" t="s">
        <v>635</v>
      </c>
      <c r="AR8" s="145">
        <v>1</v>
      </c>
      <c r="AS8" s="1" t="s">
        <v>17</v>
      </c>
    </row>
    <row r="9" spans="1:45" s="93" customFormat="1" ht="18" customHeight="1">
      <c r="A9" s="1809" t="str">
        <f>IF('1.Datos Básicos. Product-Serv'!B24=0,"",'1.Datos Básicos. Product-Serv'!B24)</f>
        <v/>
      </c>
      <c r="B9" s="2705">
        <f>'1.Datos Básicos. Product-Serv'!E24</f>
        <v>0</v>
      </c>
      <c r="C9" s="1723" t="s">
        <v>265</v>
      </c>
      <c r="D9" s="1815"/>
      <c r="E9" s="2715">
        <f>(D9+D9*$E$6)</f>
        <v>0</v>
      </c>
      <c r="F9" s="2715">
        <f>(E9+E9*$F$6)</f>
        <v>0</v>
      </c>
      <c r="G9" s="2715">
        <f>(F9+F9*$G$6)</f>
        <v>0</v>
      </c>
      <c r="H9" s="2715">
        <f>(G9+G9*$H$6)</f>
        <v>0</v>
      </c>
      <c r="I9" s="2715">
        <f>(H9+H9*$I$6)</f>
        <v>0</v>
      </c>
      <c r="J9" s="2715">
        <f>(I9+I9*$J$6)</f>
        <v>0</v>
      </c>
      <c r="K9" s="2715">
        <f>(J9+J9*$K$6)</f>
        <v>0</v>
      </c>
      <c r="L9" s="2715">
        <f>(K9+K9*$L$6)</f>
        <v>0</v>
      </c>
      <c r="M9" s="2715">
        <f>(L9+L9*$M$6)</f>
        <v>0</v>
      </c>
      <c r="N9" s="2715">
        <f>(M9+M9*$N$6)</f>
        <v>0</v>
      </c>
      <c r="O9" s="1801">
        <f>(N9+N9*$O$6)</f>
        <v>0</v>
      </c>
      <c r="P9" s="292">
        <f t="shared" ref="P9:P24" si="2">SUM(D9:O9)</f>
        <v>0</v>
      </c>
      <c r="R9" s="1637"/>
      <c r="T9" s="1831"/>
      <c r="U9" s="145"/>
      <c r="V9" s="145"/>
      <c r="W9" s="1816">
        <f>(O9+O9*$W$6)</f>
        <v>0</v>
      </c>
      <c r="X9" s="2716">
        <f>(W9+W9*$X$6)</f>
        <v>0</v>
      </c>
      <c r="Y9" s="2716">
        <f>(X9+X9*$Y$6)</f>
        <v>0</v>
      </c>
      <c r="Z9" s="2716">
        <f>(Y9+Y9*$Z$6)</f>
        <v>0</v>
      </c>
      <c r="AA9" s="2716">
        <f>(Z9+Z9*$AA$6)</f>
        <v>0</v>
      </c>
      <c r="AB9" s="2716">
        <f>(AA9+AA9*$AB$6)</f>
        <v>0</v>
      </c>
      <c r="AC9" s="2716">
        <f>(AB9+AB9*$AC$6)</f>
        <v>0</v>
      </c>
      <c r="AD9" s="2716">
        <f>(AC9+AC9*$AD$6)</f>
        <v>0</v>
      </c>
      <c r="AE9" s="2716">
        <f>(AD9+AD9*$AE$6)</f>
        <v>0</v>
      </c>
      <c r="AF9" s="2716">
        <f>(AE9+AE9*$AF$6)</f>
        <v>0</v>
      </c>
      <c r="AG9" s="2716">
        <f>(AF9+AF9*$AG$6)</f>
        <v>0</v>
      </c>
      <c r="AH9" s="1800">
        <f>(AG9+AG9*$AH$6)</f>
        <v>0</v>
      </c>
      <c r="AI9" s="292">
        <f t="shared" ref="AI9:AI24" si="3">SUM(W9:AH9)</f>
        <v>0</v>
      </c>
      <c r="AK9" s="1637"/>
      <c r="AR9" s="145">
        <v>2</v>
      </c>
      <c r="AS9" s="1" t="s">
        <v>18</v>
      </c>
    </row>
    <row r="10" spans="1:45" ht="18" customHeight="1">
      <c r="A10" s="1809"/>
      <c r="B10" s="2703"/>
      <c r="C10" s="1724" t="s">
        <v>619</v>
      </c>
      <c r="D10" s="1614">
        <f t="shared" ref="D10:O10" si="4">D9*$B$9</f>
        <v>0</v>
      </c>
      <c r="E10" s="2717">
        <f t="shared" si="4"/>
        <v>0</v>
      </c>
      <c r="F10" s="2717">
        <f t="shared" si="4"/>
        <v>0</v>
      </c>
      <c r="G10" s="2717">
        <f t="shared" si="4"/>
        <v>0</v>
      </c>
      <c r="H10" s="2717">
        <f t="shared" si="4"/>
        <v>0</v>
      </c>
      <c r="I10" s="2717">
        <f t="shared" si="4"/>
        <v>0</v>
      </c>
      <c r="J10" s="2717">
        <f t="shared" si="4"/>
        <v>0</v>
      </c>
      <c r="K10" s="2717">
        <f t="shared" si="4"/>
        <v>0</v>
      </c>
      <c r="L10" s="2717">
        <f t="shared" si="4"/>
        <v>0</v>
      </c>
      <c r="M10" s="2717">
        <f t="shared" si="4"/>
        <v>0</v>
      </c>
      <c r="N10" s="2717">
        <f t="shared" si="4"/>
        <v>0</v>
      </c>
      <c r="O10" s="2725">
        <f t="shared" si="4"/>
        <v>0</v>
      </c>
      <c r="P10" s="1628">
        <f t="shared" si="2"/>
        <v>0</v>
      </c>
      <c r="Q10" s="94"/>
      <c r="R10" s="1638" t="str">
        <f>IF(P25=0,"",P10/$P$25)</f>
        <v/>
      </c>
      <c r="S10" s="94"/>
      <c r="T10" s="1832"/>
      <c r="U10" s="145"/>
      <c r="V10" s="145"/>
      <c r="W10" s="1612">
        <f>W9*B9</f>
        <v>0</v>
      </c>
      <c r="X10" s="2718">
        <f t="shared" ref="X10:AH10" si="5">X9*$B$9</f>
        <v>0</v>
      </c>
      <c r="Y10" s="2718">
        <f t="shared" si="5"/>
        <v>0</v>
      </c>
      <c r="Z10" s="2718">
        <f t="shared" si="5"/>
        <v>0</v>
      </c>
      <c r="AA10" s="2718">
        <f t="shared" si="5"/>
        <v>0</v>
      </c>
      <c r="AB10" s="2718">
        <f t="shared" si="5"/>
        <v>0</v>
      </c>
      <c r="AC10" s="2718">
        <f t="shared" si="5"/>
        <v>0</v>
      </c>
      <c r="AD10" s="2718">
        <f t="shared" si="5"/>
        <v>0</v>
      </c>
      <c r="AE10" s="2718">
        <f t="shared" si="5"/>
        <v>0</v>
      </c>
      <c r="AF10" s="2718">
        <f t="shared" si="5"/>
        <v>0</v>
      </c>
      <c r="AG10" s="2718">
        <f t="shared" si="5"/>
        <v>0</v>
      </c>
      <c r="AH10" s="2726">
        <f t="shared" si="5"/>
        <v>0</v>
      </c>
      <c r="AI10" s="1628">
        <f t="shared" si="3"/>
        <v>0</v>
      </c>
      <c r="AK10" s="1638" t="str">
        <f>IF(AI25=0,"",AI10/AI25)</f>
        <v/>
      </c>
      <c r="AR10" s="145"/>
    </row>
    <row r="11" spans="1:45" ht="18" customHeight="1">
      <c r="A11" s="1810" t="str">
        <f>IF('1.Datos Básicos. Product-Serv'!B25=0,"",'1.Datos Básicos. Product-Serv'!B25)</f>
        <v/>
      </c>
      <c r="B11" s="2704">
        <f>'1.Datos Básicos. Product-Serv'!E25</f>
        <v>0</v>
      </c>
      <c r="C11" s="1725" t="s">
        <v>265</v>
      </c>
      <c r="D11" s="1815"/>
      <c r="E11" s="2715">
        <f>(D11+D11*$E$6)</f>
        <v>0</v>
      </c>
      <c r="F11" s="2715">
        <f>(E11+E11*$F$6)</f>
        <v>0</v>
      </c>
      <c r="G11" s="2715">
        <f>(F11+F11*$G$6)</f>
        <v>0</v>
      </c>
      <c r="H11" s="2715">
        <f>(G11+G11*$H$6)</f>
        <v>0</v>
      </c>
      <c r="I11" s="2715">
        <f>(H11+H11*$I$6)</f>
        <v>0</v>
      </c>
      <c r="J11" s="2715">
        <f>(I11+I11*$J$6)</f>
        <v>0</v>
      </c>
      <c r="K11" s="2715">
        <f>(J11+J11*$K$6)</f>
        <v>0</v>
      </c>
      <c r="L11" s="2715">
        <f>(K11+K11*$L$6)</f>
        <v>0</v>
      </c>
      <c r="M11" s="2715">
        <f>(L11+L11*$M$6)</f>
        <v>0</v>
      </c>
      <c r="N11" s="2715">
        <f>(M11+M11*$N$6)</f>
        <v>0</v>
      </c>
      <c r="O11" s="1801">
        <f>(N11+N11*$O$6)</f>
        <v>0</v>
      </c>
      <c r="P11" s="1629">
        <f t="shared" si="2"/>
        <v>0</v>
      </c>
      <c r="R11" s="1639"/>
      <c r="U11" s="145"/>
      <c r="V11" s="145"/>
      <c r="W11" s="1815">
        <f>(O11+O11*$W$6)</f>
        <v>0</v>
      </c>
      <c r="X11" s="2715">
        <f>(W11+W11*$X$6)</f>
        <v>0</v>
      </c>
      <c r="Y11" s="2715">
        <f>(X11+X11*$Y$6)</f>
        <v>0</v>
      </c>
      <c r="Z11" s="2715">
        <f>(Y11+Y11*$Z$6)</f>
        <v>0</v>
      </c>
      <c r="AA11" s="2715">
        <f>(Z11+Z11*$AA$6)</f>
        <v>0</v>
      </c>
      <c r="AB11" s="2715">
        <f>(AA11+AA11*$AB$6)</f>
        <v>0</v>
      </c>
      <c r="AC11" s="2715">
        <f>(AB11+AB11*$AC$6)</f>
        <v>0</v>
      </c>
      <c r="AD11" s="2715">
        <f>(AC11+AC11*$AD$6)</f>
        <v>0</v>
      </c>
      <c r="AE11" s="2715">
        <f>(AD11+AD11*$AE$6)</f>
        <v>0</v>
      </c>
      <c r="AF11" s="2715">
        <f>(AE11+AE11*$AF$6)</f>
        <v>0</v>
      </c>
      <c r="AG11" s="2715">
        <f>(AF11+AF11*$AG$6)</f>
        <v>0</v>
      </c>
      <c r="AH11" s="3318">
        <f>(AG11+AG11*$AH$6)</f>
        <v>0</v>
      </c>
      <c r="AI11" s="1613">
        <f t="shared" si="3"/>
        <v>0</v>
      </c>
      <c r="AK11" s="1639"/>
      <c r="AR11" s="146">
        <v>3</v>
      </c>
      <c r="AS11" s="1" t="s">
        <v>19</v>
      </c>
    </row>
    <row r="12" spans="1:45" ht="18" customHeight="1">
      <c r="A12" s="1811"/>
      <c r="B12" s="2703"/>
      <c r="C12" s="1726" t="s">
        <v>628</v>
      </c>
      <c r="D12" s="1614">
        <f>D11*B11</f>
        <v>0</v>
      </c>
      <c r="E12" s="2717">
        <f t="shared" ref="E12:O12" si="6">E11*$B$11</f>
        <v>0</v>
      </c>
      <c r="F12" s="2717">
        <f t="shared" si="6"/>
        <v>0</v>
      </c>
      <c r="G12" s="2717">
        <f t="shared" si="6"/>
        <v>0</v>
      </c>
      <c r="H12" s="2717">
        <f t="shared" si="6"/>
        <v>0</v>
      </c>
      <c r="I12" s="2717">
        <f t="shared" si="6"/>
        <v>0</v>
      </c>
      <c r="J12" s="2717">
        <f t="shared" si="6"/>
        <v>0</v>
      </c>
      <c r="K12" s="2717">
        <f t="shared" si="6"/>
        <v>0</v>
      </c>
      <c r="L12" s="2717">
        <f t="shared" si="6"/>
        <v>0</v>
      </c>
      <c r="M12" s="2717">
        <f t="shared" si="6"/>
        <v>0</v>
      </c>
      <c r="N12" s="2717">
        <f t="shared" si="6"/>
        <v>0</v>
      </c>
      <c r="O12" s="2725">
        <f t="shared" si="6"/>
        <v>0</v>
      </c>
      <c r="P12" s="1615">
        <f t="shared" si="2"/>
        <v>0</v>
      </c>
      <c r="Q12" s="94"/>
      <c r="R12" s="1640" t="str">
        <f>IF(P25=0,"",P12/$P$25)</f>
        <v/>
      </c>
      <c r="S12" s="94"/>
      <c r="T12" s="1832"/>
      <c r="U12" s="145"/>
      <c r="V12" s="145"/>
      <c r="W12" s="1614">
        <f>W11*B11</f>
        <v>0</v>
      </c>
      <c r="X12" s="2717">
        <f t="shared" ref="X12:AH12" si="7">X11*$B$11</f>
        <v>0</v>
      </c>
      <c r="Y12" s="2717">
        <f t="shared" si="7"/>
        <v>0</v>
      </c>
      <c r="Z12" s="2717">
        <f t="shared" si="7"/>
        <v>0</v>
      </c>
      <c r="AA12" s="2717">
        <f t="shared" si="7"/>
        <v>0</v>
      </c>
      <c r="AB12" s="2717">
        <f t="shared" si="7"/>
        <v>0</v>
      </c>
      <c r="AC12" s="2717">
        <f t="shared" si="7"/>
        <v>0</v>
      </c>
      <c r="AD12" s="2717">
        <f t="shared" si="7"/>
        <v>0</v>
      </c>
      <c r="AE12" s="2717">
        <f t="shared" si="7"/>
        <v>0</v>
      </c>
      <c r="AF12" s="2717">
        <f t="shared" si="7"/>
        <v>0</v>
      </c>
      <c r="AG12" s="2717">
        <f t="shared" si="7"/>
        <v>0</v>
      </c>
      <c r="AH12" s="2725">
        <f t="shared" si="7"/>
        <v>0</v>
      </c>
      <c r="AI12" s="1630">
        <f t="shared" si="3"/>
        <v>0</v>
      </c>
      <c r="AK12" s="1640" t="str">
        <f>IF(AI25=0,"",AI12/AI25)</f>
        <v/>
      </c>
      <c r="AR12" s="145">
        <v>4</v>
      </c>
      <c r="AS12" s="1" t="s">
        <v>20</v>
      </c>
    </row>
    <row r="13" spans="1:45" ht="18" customHeight="1">
      <c r="A13" s="1809" t="str">
        <f>IF('1.Datos Básicos. Product-Serv'!B26=0,"",'1.Datos Básicos. Product-Serv'!B26)</f>
        <v/>
      </c>
      <c r="B13" s="2704">
        <f>'1.Datos Básicos. Product-Serv'!E26</f>
        <v>0</v>
      </c>
      <c r="C13" s="1727" t="s">
        <v>265</v>
      </c>
      <c r="D13" s="1815"/>
      <c r="E13" s="2715">
        <f>(D13+D13*$E$6)</f>
        <v>0</v>
      </c>
      <c r="F13" s="2715">
        <f>(E13+E13*$F$6)</f>
        <v>0</v>
      </c>
      <c r="G13" s="2715">
        <f>(F13+F13*$G$6)</f>
        <v>0</v>
      </c>
      <c r="H13" s="2715">
        <f>(G13+G13*$H$6)</f>
        <v>0</v>
      </c>
      <c r="I13" s="2715">
        <f>(H13+H13*$I$6)</f>
        <v>0</v>
      </c>
      <c r="J13" s="2715">
        <f>(I13+I13*$J$6)</f>
        <v>0</v>
      </c>
      <c r="K13" s="2715">
        <f>(J13+J13*$K$6)</f>
        <v>0</v>
      </c>
      <c r="L13" s="2715">
        <f>(K13+K13*$L$6)</f>
        <v>0</v>
      </c>
      <c r="M13" s="2715">
        <f>(L13+L13*$M$6)</f>
        <v>0</v>
      </c>
      <c r="N13" s="2715">
        <f>(M13+M13*$N$6)</f>
        <v>0</v>
      </c>
      <c r="O13" s="1801">
        <f>(N13+N13*$O$6)</f>
        <v>0</v>
      </c>
      <c r="P13" s="293">
        <f t="shared" si="2"/>
        <v>0</v>
      </c>
      <c r="R13" s="1638"/>
      <c r="U13" s="145"/>
      <c r="V13" s="145"/>
      <c r="W13" s="1816">
        <f>(O13+O13*$W$6)</f>
        <v>0</v>
      </c>
      <c r="X13" s="2716">
        <f>(W13+W13*$X$6)</f>
        <v>0</v>
      </c>
      <c r="Y13" s="2716">
        <f>(X13+X13*$Y$6)</f>
        <v>0</v>
      </c>
      <c r="Z13" s="2716">
        <f>(Y13+Y13*$Z$6)</f>
        <v>0</v>
      </c>
      <c r="AA13" s="2716">
        <f>(Z13+Z13*$AA$6)</f>
        <v>0</v>
      </c>
      <c r="AB13" s="2716">
        <f>(AA13+AA13*$AB$6)</f>
        <v>0</v>
      </c>
      <c r="AC13" s="2716">
        <f>(AB13+AB13*$AC$6)</f>
        <v>0</v>
      </c>
      <c r="AD13" s="2716">
        <f>(AC13+AC13*$AD$6)</f>
        <v>0</v>
      </c>
      <c r="AE13" s="2716">
        <f>(AD13+AD13*$AE$6)</f>
        <v>0</v>
      </c>
      <c r="AF13" s="2716">
        <f>(AE13+AE13*$AF$6)</f>
        <v>0</v>
      </c>
      <c r="AG13" s="2716">
        <f>(AF13+AF13*$AG$6)</f>
        <v>0</v>
      </c>
      <c r="AH13" s="1800">
        <f>(AG13+AG13*$AH$6)</f>
        <v>0</v>
      </c>
      <c r="AI13" s="293">
        <f t="shared" si="3"/>
        <v>0</v>
      </c>
      <c r="AK13" s="1638"/>
      <c r="AR13" s="145">
        <v>5</v>
      </c>
      <c r="AS13" s="1" t="s">
        <v>21</v>
      </c>
    </row>
    <row r="14" spans="1:45" ht="18" customHeight="1">
      <c r="A14" s="1809"/>
      <c r="B14" s="2703"/>
      <c r="C14" s="1728" t="str">
        <f>C12</f>
        <v>Total mes</v>
      </c>
      <c r="D14" s="1612">
        <f>D13*B13</f>
        <v>0</v>
      </c>
      <c r="E14" s="2718">
        <f t="shared" ref="E14:O14" si="8">E13*$B$13</f>
        <v>0</v>
      </c>
      <c r="F14" s="2718">
        <f t="shared" si="8"/>
        <v>0</v>
      </c>
      <c r="G14" s="2718">
        <f t="shared" si="8"/>
        <v>0</v>
      </c>
      <c r="H14" s="2718">
        <f t="shared" si="8"/>
        <v>0</v>
      </c>
      <c r="I14" s="2718">
        <f t="shared" si="8"/>
        <v>0</v>
      </c>
      <c r="J14" s="2718">
        <f t="shared" si="8"/>
        <v>0</v>
      </c>
      <c r="K14" s="2718">
        <f t="shared" si="8"/>
        <v>0</v>
      </c>
      <c r="L14" s="2718">
        <f t="shared" si="8"/>
        <v>0</v>
      </c>
      <c r="M14" s="2718">
        <f t="shared" si="8"/>
        <v>0</v>
      </c>
      <c r="N14" s="2718">
        <f t="shared" si="8"/>
        <v>0</v>
      </c>
      <c r="O14" s="2726">
        <f t="shared" si="8"/>
        <v>0</v>
      </c>
      <c r="P14" s="1628">
        <f t="shared" si="2"/>
        <v>0</v>
      </c>
      <c r="Q14" s="94"/>
      <c r="R14" s="1640" t="str">
        <f>IF(P25=0,"",P14/$P$25)</f>
        <v/>
      </c>
      <c r="S14" s="94"/>
      <c r="T14" s="1832"/>
      <c r="U14" s="145"/>
      <c r="V14" s="145"/>
      <c r="W14" s="1612">
        <f>W13*B13</f>
        <v>0</v>
      </c>
      <c r="X14" s="2718">
        <f t="shared" ref="X14:AH14" si="9">X13*$B$13</f>
        <v>0</v>
      </c>
      <c r="Y14" s="2718">
        <f t="shared" si="9"/>
        <v>0</v>
      </c>
      <c r="Z14" s="2718">
        <f t="shared" si="9"/>
        <v>0</v>
      </c>
      <c r="AA14" s="2718">
        <f t="shared" si="9"/>
        <v>0</v>
      </c>
      <c r="AB14" s="2718">
        <f t="shared" si="9"/>
        <v>0</v>
      </c>
      <c r="AC14" s="2718">
        <f t="shared" si="9"/>
        <v>0</v>
      </c>
      <c r="AD14" s="2718">
        <f t="shared" si="9"/>
        <v>0</v>
      </c>
      <c r="AE14" s="2718">
        <f t="shared" si="9"/>
        <v>0</v>
      </c>
      <c r="AF14" s="2718">
        <f t="shared" si="9"/>
        <v>0</v>
      </c>
      <c r="AG14" s="2718">
        <f t="shared" si="9"/>
        <v>0</v>
      </c>
      <c r="AH14" s="2726">
        <f t="shared" si="9"/>
        <v>0</v>
      </c>
      <c r="AI14" s="1628">
        <f t="shared" si="3"/>
        <v>0</v>
      </c>
      <c r="AK14" s="1640" t="str">
        <f>IF(AI25=0,"",AI14/AI25)</f>
        <v/>
      </c>
      <c r="AR14" s="145">
        <v>6</v>
      </c>
      <c r="AS14" s="1" t="s">
        <v>22</v>
      </c>
    </row>
    <row r="15" spans="1:45" ht="18" customHeight="1">
      <c r="A15" s="1810" t="str">
        <f>IF('1.Datos Básicos. Product-Serv'!B27=0,"",'1.Datos Básicos. Product-Serv'!B27)</f>
        <v/>
      </c>
      <c r="B15" s="2704">
        <f>'1.Datos Básicos. Product-Serv'!E27</f>
        <v>0</v>
      </c>
      <c r="C15" s="1725" t="s">
        <v>265</v>
      </c>
      <c r="D15" s="1815"/>
      <c r="E15" s="2715">
        <f>(D15+D15*$E$6)</f>
        <v>0</v>
      </c>
      <c r="F15" s="2715">
        <f>(E15+E15*$F$6)</f>
        <v>0</v>
      </c>
      <c r="G15" s="2715">
        <f>(F15+F15*$G$6)</f>
        <v>0</v>
      </c>
      <c r="H15" s="2715">
        <f>(G15+G15*$H$6)</f>
        <v>0</v>
      </c>
      <c r="I15" s="2715">
        <f>(H15+H15*$I$6)</f>
        <v>0</v>
      </c>
      <c r="J15" s="2715">
        <f>(I15+I15*$J$6)</f>
        <v>0</v>
      </c>
      <c r="K15" s="2715">
        <f>(J15+J15*$K$6)</f>
        <v>0</v>
      </c>
      <c r="L15" s="2715">
        <f>(K15+K15*$L$6)</f>
        <v>0</v>
      </c>
      <c r="M15" s="2715">
        <f>(L15+L15*$M$6)</f>
        <v>0</v>
      </c>
      <c r="N15" s="2715">
        <f>(M15+M15*$N$6)</f>
        <v>0</v>
      </c>
      <c r="O15" s="1801">
        <f>(N15+N15*$O$6)</f>
        <v>0</v>
      </c>
      <c r="P15" s="1629">
        <f t="shared" si="2"/>
        <v>0</v>
      </c>
      <c r="R15" s="1639"/>
      <c r="W15" s="1815">
        <f>(O15+O15*$W$6)</f>
        <v>0</v>
      </c>
      <c r="X15" s="2715">
        <f>(W15+W15*$X$6)</f>
        <v>0</v>
      </c>
      <c r="Y15" s="2715">
        <f>(X15+X15*$Y$6)</f>
        <v>0</v>
      </c>
      <c r="Z15" s="2715">
        <f>(Y15+Y15*$Z$6)</f>
        <v>0</v>
      </c>
      <c r="AA15" s="2715">
        <f>(Z15+Z15*$AA$6)</f>
        <v>0</v>
      </c>
      <c r="AB15" s="2715">
        <f>(AA15+AA15*$AB$6)</f>
        <v>0</v>
      </c>
      <c r="AC15" s="2715">
        <f>(AB15+AB15*$AC$6)</f>
        <v>0</v>
      </c>
      <c r="AD15" s="2715">
        <f>(AC15+AC15*$AD$6)</f>
        <v>0</v>
      </c>
      <c r="AE15" s="2715">
        <f>(AD15+AD15*$AE$6)</f>
        <v>0</v>
      </c>
      <c r="AF15" s="2715">
        <f>(AE15+AE15*$AF$6)</f>
        <v>0</v>
      </c>
      <c r="AG15" s="2715">
        <f>(AF15+AF15*$AG$6)</f>
        <v>0</v>
      </c>
      <c r="AH15" s="3318">
        <f>(AG15+AG15*$AH$6)</f>
        <v>0</v>
      </c>
      <c r="AI15" s="1613">
        <f t="shared" si="3"/>
        <v>0</v>
      </c>
      <c r="AK15" s="1639"/>
      <c r="AR15" s="145">
        <v>7</v>
      </c>
      <c r="AS15" s="1" t="s">
        <v>23</v>
      </c>
    </row>
    <row r="16" spans="1:45" ht="18" customHeight="1">
      <c r="A16" s="1811"/>
      <c r="B16" s="2703"/>
      <c r="C16" s="1726" t="str">
        <f>C12</f>
        <v>Total mes</v>
      </c>
      <c r="D16" s="1614">
        <f>D15*B15</f>
        <v>0</v>
      </c>
      <c r="E16" s="2717">
        <f>E15*$B$15</f>
        <v>0</v>
      </c>
      <c r="F16" s="2717">
        <f t="shared" ref="F16:O16" si="10">F15*$B$15</f>
        <v>0</v>
      </c>
      <c r="G16" s="2717">
        <f t="shared" si="10"/>
        <v>0</v>
      </c>
      <c r="H16" s="2717">
        <f t="shared" si="10"/>
        <v>0</v>
      </c>
      <c r="I16" s="2717">
        <f t="shared" si="10"/>
        <v>0</v>
      </c>
      <c r="J16" s="2717">
        <f t="shared" si="10"/>
        <v>0</v>
      </c>
      <c r="K16" s="2717">
        <f t="shared" si="10"/>
        <v>0</v>
      </c>
      <c r="L16" s="2717">
        <f t="shared" si="10"/>
        <v>0</v>
      </c>
      <c r="M16" s="2717">
        <f t="shared" si="10"/>
        <v>0</v>
      </c>
      <c r="N16" s="2717">
        <f t="shared" si="10"/>
        <v>0</v>
      </c>
      <c r="O16" s="2725">
        <f t="shared" si="10"/>
        <v>0</v>
      </c>
      <c r="P16" s="1615">
        <f t="shared" si="2"/>
        <v>0</v>
      </c>
      <c r="Q16" s="94"/>
      <c r="R16" s="1640" t="str">
        <f>IF(P25=0,"",P16/$P$25)</f>
        <v/>
      </c>
      <c r="S16" s="94"/>
      <c r="T16" s="1832"/>
      <c r="W16" s="1614">
        <f>W15*B15</f>
        <v>0</v>
      </c>
      <c r="X16" s="2717">
        <f>X15*$B$15</f>
        <v>0</v>
      </c>
      <c r="Y16" s="2717">
        <f t="shared" ref="Y16:AH16" si="11">Y15*$B$15</f>
        <v>0</v>
      </c>
      <c r="Z16" s="2717">
        <f t="shared" si="11"/>
        <v>0</v>
      </c>
      <c r="AA16" s="2717">
        <f t="shared" si="11"/>
        <v>0</v>
      </c>
      <c r="AB16" s="2717">
        <f t="shared" si="11"/>
        <v>0</v>
      </c>
      <c r="AC16" s="2717">
        <f t="shared" si="11"/>
        <v>0</v>
      </c>
      <c r="AD16" s="2717">
        <f t="shared" si="11"/>
        <v>0</v>
      </c>
      <c r="AE16" s="2717">
        <f t="shared" si="11"/>
        <v>0</v>
      </c>
      <c r="AF16" s="2717">
        <f t="shared" si="11"/>
        <v>0</v>
      </c>
      <c r="AG16" s="2717">
        <f t="shared" si="11"/>
        <v>0</v>
      </c>
      <c r="AH16" s="2725">
        <f t="shared" si="11"/>
        <v>0</v>
      </c>
      <c r="AI16" s="1630">
        <f t="shared" si="3"/>
        <v>0</v>
      </c>
      <c r="AK16" s="1640" t="str">
        <f>IF(AI25=0,"",AI16/AI25)</f>
        <v/>
      </c>
      <c r="AR16" s="145">
        <v>8</v>
      </c>
      <c r="AS16" s="1" t="s">
        <v>24</v>
      </c>
    </row>
    <row r="17" spans="1:45" ht="18" customHeight="1">
      <c r="A17" s="1809" t="str">
        <f>IF('1.Datos Básicos. Product-Serv'!B28=0,"",'1.Datos Básicos. Product-Serv'!B28)</f>
        <v/>
      </c>
      <c r="B17" s="2704">
        <f>'1.Datos Básicos. Product-Serv'!E28</f>
        <v>0</v>
      </c>
      <c r="C17" s="1727" t="s">
        <v>265</v>
      </c>
      <c r="D17" s="1800"/>
      <c r="E17" s="2716">
        <f>(D17+D17*$E$6)</f>
        <v>0</v>
      </c>
      <c r="F17" s="2716">
        <f>(E17+E17*$F$6)</f>
        <v>0</v>
      </c>
      <c r="G17" s="2716">
        <f>(F17+F17*$G$6)</f>
        <v>0</v>
      </c>
      <c r="H17" s="2716">
        <f>(G17+G17*$H$6)</f>
        <v>0</v>
      </c>
      <c r="I17" s="2716">
        <f>(H17+H17*$I$6)</f>
        <v>0</v>
      </c>
      <c r="J17" s="2716">
        <f>(I17+I17*$J$6)</f>
        <v>0</v>
      </c>
      <c r="K17" s="2716">
        <f>(J17+J17*$K$6)</f>
        <v>0</v>
      </c>
      <c r="L17" s="2716">
        <f>(K17+K17*$L$6)</f>
        <v>0</v>
      </c>
      <c r="M17" s="2716">
        <f>(L17+L17*$M$6)</f>
        <v>0</v>
      </c>
      <c r="N17" s="2716">
        <f>(M17+M17*$N$6)</f>
        <v>0</v>
      </c>
      <c r="O17" s="1800">
        <f>(N17+N17*$O$6)</f>
        <v>0</v>
      </c>
      <c r="P17" s="293">
        <f t="shared" si="2"/>
        <v>0</v>
      </c>
      <c r="R17" s="1638"/>
      <c r="W17" s="1816">
        <f>(O17+O17*$W$6)</f>
        <v>0</v>
      </c>
      <c r="X17" s="2716">
        <f>(W17+W17*$X$6)</f>
        <v>0</v>
      </c>
      <c r="Y17" s="2716">
        <f>(X17+X17*$Y$6)</f>
        <v>0</v>
      </c>
      <c r="Z17" s="2716">
        <f>(Y17+Y17*$Z$6)</f>
        <v>0</v>
      </c>
      <c r="AA17" s="2716">
        <f>(Z17+Z17*$AA$6)</f>
        <v>0</v>
      </c>
      <c r="AB17" s="2716">
        <f>(AA17+AA17*$AB$6)</f>
        <v>0</v>
      </c>
      <c r="AC17" s="2716">
        <f>(AB17+AB17*$AC$6)</f>
        <v>0</v>
      </c>
      <c r="AD17" s="2716">
        <f>(AC17+AC17*$AD$6)</f>
        <v>0</v>
      </c>
      <c r="AE17" s="2716">
        <f>(AD17+AD17*$AE$6)</f>
        <v>0</v>
      </c>
      <c r="AF17" s="2716">
        <f>(AE17+AE17*$AF$6)</f>
        <v>0</v>
      </c>
      <c r="AG17" s="2716">
        <f>(AF17+AF17*$AG$6)</f>
        <v>0</v>
      </c>
      <c r="AH17" s="1800">
        <f>(AG17+AG17*$AH$6)</f>
        <v>0</v>
      </c>
      <c r="AI17" s="293">
        <f t="shared" si="3"/>
        <v>0</v>
      </c>
      <c r="AK17" s="1638"/>
      <c r="AR17" s="145">
        <v>9</v>
      </c>
      <c r="AS17" s="1" t="s">
        <v>25</v>
      </c>
    </row>
    <row r="18" spans="1:45" ht="18" customHeight="1">
      <c r="A18" s="1809"/>
      <c r="B18" s="2703"/>
      <c r="C18" s="1728" t="str">
        <f>C12</f>
        <v>Total mes</v>
      </c>
      <c r="D18" s="1612">
        <f>D17*B17</f>
        <v>0</v>
      </c>
      <c r="E18" s="2718">
        <f>E17*$B$17</f>
        <v>0</v>
      </c>
      <c r="F18" s="2718">
        <f t="shared" ref="F18:O18" si="12">F17*$B$17</f>
        <v>0</v>
      </c>
      <c r="G18" s="2718">
        <f t="shared" si="12"/>
        <v>0</v>
      </c>
      <c r="H18" s="2718">
        <f t="shared" si="12"/>
        <v>0</v>
      </c>
      <c r="I18" s="2718">
        <f t="shared" si="12"/>
        <v>0</v>
      </c>
      <c r="J18" s="2718">
        <f t="shared" si="12"/>
        <v>0</v>
      </c>
      <c r="K18" s="2718">
        <f t="shared" si="12"/>
        <v>0</v>
      </c>
      <c r="L18" s="2718">
        <f t="shared" si="12"/>
        <v>0</v>
      </c>
      <c r="M18" s="2718">
        <f t="shared" si="12"/>
        <v>0</v>
      </c>
      <c r="N18" s="2718">
        <f t="shared" si="12"/>
        <v>0</v>
      </c>
      <c r="O18" s="2726">
        <f t="shared" si="12"/>
        <v>0</v>
      </c>
      <c r="P18" s="1628">
        <f t="shared" si="2"/>
        <v>0</v>
      </c>
      <c r="Q18" s="94"/>
      <c r="R18" s="1640" t="str">
        <f>IF(P25=0,"",P18/$P$25)</f>
        <v/>
      </c>
      <c r="S18" s="94"/>
      <c r="T18" s="1832"/>
      <c r="U18" s="107"/>
      <c r="W18" s="1612">
        <f>W17*B17</f>
        <v>0</v>
      </c>
      <c r="X18" s="2718">
        <f>X17*$B$17</f>
        <v>0</v>
      </c>
      <c r="Y18" s="2718">
        <f t="shared" ref="Y18:AH18" si="13">Y17*$B$17</f>
        <v>0</v>
      </c>
      <c r="Z18" s="2718">
        <f t="shared" si="13"/>
        <v>0</v>
      </c>
      <c r="AA18" s="2718">
        <f t="shared" si="13"/>
        <v>0</v>
      </c>
      <c r="AB18" s="2718">
        <f t="shared" si="13"/>
        <v>0</v>
      </c>
      <c r="AC18" s="2718">
        <f t="shared" si="13"/>
        <v>0</v>
      </c>
      <c r="AD18" s="2718">
        <f t="shared" si="13"/>
        <v>0</v>
      </c>
      <c r="AE18" s="2718">
        <f t="shared" si="13"/>
        <v>0</v>
      </c>
      <c r="AF18" s="2718">
        <f t="shared" si="13"/>
        <v>0</v>
      </c>
      <c r="AG18" s="2718">
        <f t="shared" si="13"/>
        <v>0</v>
      </c>
      <c r="AH18" s="2726">
        <f t="shared" si="13"/>
        <v>0</v>
      </c>
      <c r="AI18" s="1628">
        <f t="shared" si="3"/>
        <v>0</v>
      </c>
      <c r="AK18" s="1640" t="str">
        <f>IF(AI25=0,"",AI18/AI25)</f>
        <v/>
      </c>
      <c r="AR18" s="145">
        <v>10</v>
      </c>
      <c r="AS18" s="1" t="s">
        <v>26</v>
      </c>
    </row>
    <row r="19" spans="1:45" ht="18" customHeight="1">
      <c r="A19" s="1810" t="str">
        <f>IF('1.Datos Básicos. Product-Serv'!B29=0,"",'1.Datos Básicos. Product-Serv'!B29)</f>
        <v/>
      </c>
      <c r="B19" s="2704">
        <f>'1.Datos Básicos. Product-Serv'!E29</f>
        <v>0</v>
      </c>
      <c r="C19" s="1725" t="s">
        <v>265</v>
      </c>
      <c r="D19" s="1815"/>
      <c r="E19" s="2715">
        <f>(D19+D19*$E$6)</f>
        <v>0</v>
      </c>
      <c r="F19" s="2715">
        <f>(E19+E19*$F$6)</f>
        <v>0</v>
      </c>
      <c r="G19" s="2715">
        <f>(F19+F19*$G$6)</f>
        <v>0</v>
      </c>
      <c r="H19" s="2715">
        <f>(G19+G19*$H$6)</f>
        <v>0</v>
      </c>
      <c r="I19" s="2715">
        <f>(H19+H19*$I$6)</f>
        <v>0</v>
      </c>
      <c r="J19" s="2715">
        <f>(I19+I19*$J$6)</f>
        <v>0</v>
      </c>
      <c r="K19" s="2715">
        <f>(J19+J19*$K$6)</f>
        <v>0</v>
      </c>
      <c r="L19" s="2715">
        <f>(K19+K19*$L$6)</f>
        <v>0</v>
      </c>
      <c r="M19" s="2715">
        <f>(L19+L19*$M$6)</f>
        <v>0</v>
      </c>
      <c r="N19" s="2715">
        <f>(M19+M19*$N$6)</f>
        <v>0</v>
      </c>
      <c r="O19" s="1801">
        <f>(N19+N19*$O$6)</f>
        <v>0</v>
      </c>
      <c r="P19" s="1629">
        <f t="shared" si="2"/>
        <v>0</v>
      </c>
      <c r="Q19" s="94"/>
      <c r="R19" s="1639"/>
      <c r="S19" s="94"/>
      <c r="T19" s="1832"/>
      <c r="W19" s="1815">
        <f>(O19+O19*$W$6)</f>
        <v>0</v>
      </c>
      <c r="X19" s="2715">
        <f>(W19+W19*$X$6)</f>
        <v>0</v>
      </c>
      <c r="Y19" s="2715">
        <f>(X19+X19*$Y$6)</f>
        <v>0</v>
      </c>
      <c r="Z19" s="2715">
        <f>(Y19+Y19*$Z$6)</f>
        <v>0</v>
      </c>
      <c r="AA19" s="2715">
        <f>(Z19+Z19*$AA$6)</f>
        <v>0</v>
      </c>
      <c r="AB19" s="2715">
        <f>(AA19+AA19*$AB$6)</f>
        <v>0</v>
      </c>
      <c r="AC19" s="2715">
        <f>(AB19+AB19*$AC$6)</f>
        <v>0</v>
      </c>
      <c r="AD19" s="2715">
        <f>(AC19+AC19*$AD$6)</f>
        <v>0</v>
      </c>
      <c r="AE19" s="2715">
        <f>(AD19+AD19*$AE$6)</f>
        <v>0</v>
      </c>
      <c r="AF19" s="2715">
        <f>(AE19+AE19*$AF$6)</f>
        <v>0</v>
      </c>
      <c r="AG19" s="2715">
        <f>(AF19+AF19*$AG$6)</f>
        <v>0</v>
      </c>
      <c r="AH19" s="1801">
        <f>(AG19+AG19*$AH$6)</f>
        <v>0</v>
      </c>
      <c r="AI19" s="1613">
        <f t="shared" si="3"/>
        <v>0</v>
      </c>
      <c r="AK19" s="1639"/>
      <c r="AR19" s="145">
        <v>11</v>
      </c>
      <c r="AS19" s="1" t="s">
        <v>27</v>
      </c>
    </row>
    <row r="20" spans="1:45" ht="18" customHeight="1">
      <c r="A20" s="1809"/>
      <c r="B20" s="2703"/>
      <c r="C20" s="1728" t="str">
        <f>C12</f>
        <v>Total mes</v>
      </c>
      <c r="D20" s="1612">
        <f>D19*B19</f>
        <v>0</v>
      </c>
      <c r="E20" s="2718">
        <f>E19*$B$19</f>
        <v>0</v>
      </c>
      <c r="F20" s="2718">
        <f t="shared" ref="F20:O20" si="14">F19*$B$19</f>
        <v>0</v>
      </c>
      <c r="G20" s="2718">
        <f t="shared" si="14"/>
        <v>0</v>
      </c>
      <c r="H20" s="2718">
        <f t="shared" si="14"/>
        <v>0</v>
      </c>
      <c r="I20" s="2718">
        <f t="shared" si="14"/>
        <v>0</v>
      </c>
      <c r="J20" s="2718">
        <f t="shared" si="14"/>
        <v>0</v>
      </c>
      <c r="K20" s="2718">
        <f t="shared" si="14"/>
        <v>0</v>
      </c>
      <c r="L20" s="2718">
        <f t="shared" si="14"/>
        <v>0</v>
      </c>
      <c r="M20" s="2718">
        <f t="shared" si="14"/>
        <v>0</v>
      </c>
      <c r="N20" s="2718">
        <f t="shared" si="14"/>
        <v>0</v>
      </c>
      <c r="O20" s="2726">
        <f t="shared" si="14"/>
        <v>0</v>
      </c>
      <c r="P20" s="293">
        <f t="shared" si="2"/>
        <v>0</v>
      </c>
      <c r="Q20" s="94"/>
      <c r="R20" s="1640" t="str">
        <f>IF(P25=0,"",P20/$P$25)</f>
        <v/>
      </c>
      <c r="S20" s="94"/>
      <c r="T20" s="1832"/>
      <c r="W20" s="1614">
        <f>W19*B19</f>
        <v>0</v>
      </c>
      <c r="X20" s="2717">
        <f>X19*$B$19</f>
        <v>0</v>
      </c>
      <c r="Y20" s="2717">
        <f t="shared" ref="Y20:AH20" si="15">Y19*$B$19</f>
        <v>0</v>
      </c>
      <c r="Z20" s="2717">
        <f t="shared" si="15"/>
        <v>0</v>
      </c>
      <c r="AA20" s="2717">
        <f t="shared" si="15"/>
        <v>0</v>
      </c>
      <c r="AB20" s="2717">
        <f t="shared" si="15"/>
        <v>0</v>
      </c>
      <c r="AC20" s="2717">
        <f t="shared" si="15"/>
        <v>0</v>
      </c>
      <c r="AD20" s="2717">
        <f t="shared" si="15"/>
        <v>0</v>
      </c>
      <c r="AE20" s="2717">
        <f t="shared" si="15"/>
        <v>0</v>
      </c>
      <c r="AF20" s="2717">
        <f t="shared" si="15"/>
        <v>0</v>
      </c>
      <c r="AG20" s="2717">
        <f t="shared" si="15"/>
        <v>0</v>
      </c>
      <c r="AH20" s="2725">
        <f t="shared" si="15"/>
        <v>0</v>
      </c>
      <c r="AI20" s="1630">
        <f t="shared" si="3"/>
        <v>0</v>
      </c>
      <c r="AK20" s="1640" t="str">
        <f>IF(AI25=0,"",AI20/AI25)</f>
        <v/>
      </c>
      <c r="AR20" s="145">
        <v>12</v>
      </c>
      <c r="AS20" s="1" t="s">
        <v>28</v>
      </c>
    </row>
    <row r="21" spans="1:45" ht="18" customHeight="1">
      <c r="A21" s="1810" t="str">
        <f>IF('1.Datos Básicos. Product-Serv'!B30=0,"",'1.Datos Básicos. Product-Serv'!B30)</f>
        <v/>
      </c>
      <c r="B21" s="2704">
        <f>'1.Datos Básicos. Product-Serv'!E30</f>
        <v>0</v>
      </c>
      <c r="C21" s="1725" t="s">
        <v>265</v>
      </c>
      <c r="D21" s="1801"/>
      <c r="E21" s="2715">
        <f>(D21+D21*$E$6)</f>
        <v>0</v>
      </c>
      <c r="F21" s="2715">
        <f>(E21+E21*$F$6)</f>
        <v>0</v>
      </c>
      <c r="G21" s="2715">
        <f>(F21+F21*$G$6)</f>
        <v>0</v>
      </c>
      <c r="H21" s="2715">
        <f>(G21+G21*$H$6)</f>
        <v>0</v>
      </c>
      <c r="I21" s="2715">
        <f>(H21+H21*$I$6)</f>
        <v>0</v>
      </c>
      <c r="J21" s="2715">
        <f>(I21+I21*$J$6)</f>
        <v>0</v>
      </c>
      <c r="K21" s="2715">
        <f>(J21+J21*$K$6)</f>
        <v>0</v>
      </c>
      <c r="L21" s="2715">
        <f>(K21+K21*$L$6)</f>
        <v>0</v>
      </c>
      <c r="M21" s="2715">
        <f>(L21+L21*$M$6)</f>
        <v>0</v>
      </c>
      <c r="N21" s="2715">
        <f>(M21+M21*$N$6)</f>
        <v>0</v>
      </c>
      <c r="O21" s="1801">
        <f>(N21+N21*$O$6)</f>
        <v>0</v>
      </c>
      <c r="P21" s="1613">
        <f t="shared" si="2"/>
        <v>0</v>
      </c>
      <c r="Q21" s="94"/>
      <c r="R21" s="1639"/>
      <c r="S21" s="94"/>
      <c r="T21" s="1832"/>
      <c r="W21" s="1816">
        <f>(O21+O21*$W$6)</f>
        <v>0</v>
      </c>
      <c r="X21" s="2716">
        <f>(W21+W21*$X$6)</f>
        <v>0</v>
      </c>
      <c r="Y21" s="2716">
        <f>(X21+X21*$Y$6)</f>
        <v>0</v>
      </c>
      <c r="Z21" s="2716">
        <f>(Y21+Y21*$Z$6)</f>
        <v>0</v>
      </c>
      <c r="AA21" s="2716">
        <f>(Z21+Z21*$AA$6)</f>
        <v>0</v>
      </c>
      <c r="AB21" s="2716">
        <f>(AA21+AA21*$AB$6)</f>
        <v>0</v>
      </c>
      <c r="AC21" s="2716">
        <f>(AB21+AB21*$AC$6)</f>
        <v>0</v>
      </c>
      <c r="AD21" s="2716">
        <f>(AC21+AC21*$AD$6)</f>
        <v>0</v>
      </c>
      <c r="AE21" s="2716">
        <f>(AD21+AD21*$AE$6)</f>
        <v>0</v>
      </c>
      <c r="AF21" s="2716">
        <f>(AE21+AE21*$AF$6)</f>
        <v>0</v>
      </c>
      <c r="AG21" s="2716">
        <f>(AF21+AF21*$AG$6)</f>
        <v>0</v>
      </c>
      <c r="AH21" s="1800">
        <f>(AG21+AG21*$AH$6)</f>
        <v>0</v>
      </c>
      <c r="AI21" s="293">
        <f t="shared" si="3"/>
        <v>0</v>
      </c>
      <c r="AK21" s="1639"/>
    </row>
    <row r="22" spans="1:45" ht="18" customHeight="1">
      <c r="A22" s="1811"/>
      <c r="B22" s="2703"/>
      <c r="C22" s="1726" t="str">
        <f>C12</f>
        <v>Total mes</v>
      </c>
      <c r="D22" s="1614">
        <f>D21*B21</f>
        <v>0</v>
      </c>
      <c r="E22" s="2717">
        <f>E21*$B$21</f>
        <v>0</v>
      </c>
      <c r="F22" s="2717">
        <f t="shared" ref="F22:O22" si="16">F21*$B$21</f>
        <v>0</v>
      </c>
      <c r="G22" s="2717">
        <f t="shared" si="16"/>
        <v>0</v>
      </c>
      <c r="H22" s="2717">
        <f t="shared" si="16"/>
        <v>0</v>
      </c>
      <c r="I22" s="2717">
        <f t="shared" si="16"/>
        <v>0</v>
      </c>
      <c r="J22" s="2717">
        <f t="shared" si="16"/>
        <v>0</v>
      </c>
      <c r="K22" s="2717">
        <f t="shared" si="16"/>
        <v>0</v>
      </c>
      <c r="L22" s="2717">
        <f t="shared" si="16"/>
        <v>0</v>
      </c>
      <c r="M22" s="2717">
        <f t="shared" si="16"/>
        <v>0</v>
      </c>
      <c r="N22" s="2717">
        <f t="shared" si="16"/>
        <v>0</v>
      </c>
      <c r="O22" s="2725">
        <f t="shared" si="16"/>
        <v>0</v>
      </c>
      <c r="P22" s="1630">
        <f t="shared" si="2"/>
        <v>0</v>
      </c>
      <c r="Q22" s="94"/>
      <c r="R22" s="1640" t="str">
        <f>IF(P25=0,"",P22/$P$25)</f>
        <v/>
      </c>
      <c r="S22" s="94"/>
      <c r="T22" s="1832"/>
      <c r="W22" s="1612">
        <f>W21*B21</f>
        <v>0</v>
      </c>
      <c r="X22" s="2718">
        <f>X21*$B$21</f>
        <v>0</v>
      </c>
      <c r="Y22" s="2718">
        <f t="shared" ref="Y22:AH22" si="17">Y21*$B$21</f>
        <v>0</v>
      </c>
      <c r="Z22" s="2718">
        <f t="shared" si="17"/>
        <v>0</v>
      </c>
      <c r="AA22" s="2718">
        <f t="shared" si="17"/>
        <v>0</v>
      </c>
      <c r="AB22" s="2718">
        <f t="shared" si="17"/>
        <v>0</v>
      </c>
      <c r="AC22" s="2718">
        <f t="shared" si="17"/>
        <v>0</v>
      </c>
      <c r="AD22" s="2718">
        <f t="shared" si="17"/>
        <v>0</v>
      </c>
      <c r="AE22" s="2718">
        <f t="shared" si="17"/>
        <v>0</v>
      </c>
      <c r="AF22" s="2718">
        <f t="shared" si="17"/>
        <v>0</v>
      </c>
      <c r="AG22" s="2718">
        <f t="shared" si="17"/>
        <v>0</v>
      </c>
      <c r="AH22" s="2726">
        <f t="shared" si="17"/>
        <v>0</v>
      </c>
      <c r="AI22" s="1628">
        <f t="shared" si="3"/>
        <v>0</v>
      </c>
      <c r="AK22" s="1640" t="str">
        <f>IF(AI25=0,"",AI22/AI25)</f>
        <v/>
      </c>
      <c r="AR22" s="1">
        <f>LOOKUP('1.Datos Básicos. Product-Serv'!B9,'1.Datos Básicos. Product-Serv'!O2:P13)</f>
        <v>1</v>
      </c>
    </row>
    <row r="23" spans="1:45" ht="18" customHeight="1">
      <c r="A23" s="1809" t="str">
        <f>IF('1.Datos Básicos. Product-Serv'!B31=0,"",'1.Datos Básicos. Product-Serv'!B31)</f>
        <v/>
      </c>
      <c r="B23" s="2704">
        <f>'1.Datos Básicos. Product-Serv'!E31</f>
        <v>0</v>
      </c>
      <c r="C23" s="1727" t="s">
        <v>265</v>
      </c>
      <c r="D23" s="1800"/>
      <c r="E23" s="2716">
        <f>(D23+D23*$E$6)</f>
        <v>0</v>
      </c>
      <c r="F23" s="2716">
        <f>(E23+E23*$F$6)</f>
        <v>0</v>
      </c>
      <c r="G23" s="2716">
        <f>(F23+F23*$G$6)</f>
        <v>0</v>
      </c>
      <c r="H23" s="2716">
        <f>(G23+G23*$H$6)</f>
        <v>0</v>
      </c>
      <c r="I23" s="2716">
        <f>(H23+H23*$I$6)</f>
        <v>0</v>
      </c>
      <c r="J23" s="2716">
        <f>(I23+I23*$J$6)</f>
        <v>0</v>
      </c>
      <c r="K23" s="2716">
        <f>(J23+J23*$K$6)</f>
        <v>0</v>
      </c>
      <c r="L23" s="2716">
        <f>(K23+K23*$L$6)</f>
        <v>0</v>
      </c>
      <c r="M23" s="2716">
        <f>(L23+L23*$M$6)</f>
        <v>0</v>
      </c>
      <c r="N23" s="2716">
        <f>(M23+M23*$N$6)</f>
        <v>0</v>
      </c>
      <c r="O23" s="1800">
        <f>(N23+N23*$O$6)</f>
        <v>0</v>
      </c>
      <c r="P23" s="293">
        <f t="shared" si="2"/>
        <v>0</v>
      </c>
      <c r="R23" s="1639"/>
      <c r="W23" s="1815">
        <f>(O23+O23*$W$6)</f>
        <v>0</v>
      </c>
      <c r="X23" s="2715">
        <f>(W23+W23*$X$6)</f>
        <v>0</v>
      </c>
      <c r="Y23" s="2715">
        <f>(X23+X23*$Y$6)</f>
        <v>0</v>
      </c>
      <c r="Z23" s="2715">
        <f>(Y23+Y23*$Z$6)</f>
        <v>0</v>
      </c>
      <c r="AA23" s="2715">
        <f>(Z23+Z23*$AA$6)</f>
        <v>0</v>
      </c>
      <c r="AB23" s="2715">
        <f>(AA23+AA23*$AB$6)</f>
        <v>0</v>
      </c>
      <c r="AC23" s="2715">
        <f>(AB23+AB23*$AC$6)</f>
        <v>0</v>
      </c>
      <c r="AD23" s="2715">
        <f>(AC23+AC23*$AD$6)</f>
        <v>0</v>
      </c>
      <c r="AE23" s="2715">
        <f>(AD23+AD23*$AE$6)</f>
        <v>0</v>
      </c>
      <c r="AF23" s="2715">
        <f>(AE23+AE23*$AF$6)</f>
        <v>0</v>
      </c>
      <c r="AG23" s="2715">
        <f>(AF23+AF23*$AG$6)</f>
        <v>0</v>
      </c>
      <c r="AH23" s="1801">
        <f>(AG23+AG23*$AH$6)</f>
        <v>0</v>
      </c>
      <c r="AI23" s="1613">
        <f t="shared" si="3"/>
        <v>0</v>
      </c>
      <c r="AK23" s="1639"/>
    </row>
    <row r="24" spans="1:45" ht="18" customHeight="1" thickBot="1">
      <c r="A24" s="1809"/>
      <c r="B24" s="2703"/>
      <c r="C24" s="1728" t="str">
        <f>C12</f>
        <v>Total mes</v>
      </c>
      <c r="D24" s="1612">
        <f>D23*B23</f>
        <v>0</v>
      </c>
      <c r="E24" s="2718">
        <f>E23*$B$23</f>
        <v>0</v>
      </c>
      <c r="F24" s="2718">
        <f t="shared" ref="F24:O24" si="18">F23*$B$23</f>
        <v>0</v>
      </c>
      <c r="G24" s="2718">
        <f t="shared" si="18"/>
        <v>0</v>
      </c>
      <c r="H24" s="2718">
        <f t="shared" si="18"/>
        <v>0</v>
      </c>
      <c r="I24" s="2718">
        <f t="shared" si="18"/>
        <v>0</v>
      </c>
      <c r="J24" s="2718">
        <f t="shared" si="18"/>
        <v>0</v>
      </c>
      <c r="K24" s="2718">
        <f t="shared" si="18"/>
        <v>0</v>
      </c>
      <c r="L24" s="2718">
        <f t="shared" si="18"/>
        <v>0</v>
      </c>
      <c r="M24" s="2718">
        <f t="shared" si="18"/>
        <v>0</v>
      </c>
      <c r="N24" s="2718">
        <f t="shared" si="18"/>
        <v>0</v>
      </c>
      <c r="O24" s="2726">
        <f t="shared" si="18"/>
        <v>0</v>
      </c>
      <c r="P24" s="1628">
        <f t="shared" si="2"/>
        <v>0</v>
      </c>
      <c r="Q24" s="94"/>
      <c r="R24" s="1640" t="str">
        <f>IF(P25=0,"",P24/$P$25)</f>
        <v/>
      </c>
      <c r="S24" s="94"/>
      <c r="T24" s="1832"/>
      <c r="W24" s="1614">
        <f>W23*B23</f>
        <v>0</v>
      </c>
      <c r="X24" s="2717">
        <f>X23*$B$23</f>
        <v>0</v>
      </c>
      <c r="Y24" s="2717">
        <f t="shared" ref="Y24:AH24" si="19">Y23*$B$23</f>
        <v>0</v>
      </c>
      <c r="Z24" s="2717">
        <f t="shared" si="19"/>
        <v>0</v>
      </c>
      <c r="AA24" s="2717">
        <f t="shared" si="19"/>
        <v>0</v>
      </c>
      <c r="AB24" s="2717">
        <f t="shared" si="19"/>
        <v>0</v>
      </c>
      <c r="AC24" s="2717">
        <f t="shared" si="19"/>
        <v>0</v>
      </c>
      <c r="AD24" s="2717">
        <f t="shared" si="19"/>
        <v>0</v>
      </c>
      <c r="AE24" s="2717">
        <f t="shared" si="19"/>
        <v>0</v>
      </c>
      <c r="AF24" s="2717">
        <f t="shared" si="19"/>
        <v>0</v>
      </c>
      <c r="AG24" s="2717">
        <f t="shared" si="19"/>
        <v>0</v>
      </c>
      <c r="AH24" s="2725">
        <f t="shared" si="19"/>
        <v>0</v>
      </c>
      <c r="AI24" s="1628">
        <f t="shared" si="3"/>
        <v>0</v>
      </c>
      <c r="AK24" s="1640" t="str">
        <f>IF(AI25=0,"",AI24/AI25)</f>
        <v/>
      </c>
    </row>
    <row r="25" spans="1:45" s="2000" customFormat="1" ht="26.25" customHeight="1" thickTop="1" thickBot="1">
      <c r="A25" s="3362" t="s">
        <v>83</v>
      </c>
      <c r="B25" s="3363"/>
      <c r="C25" s="3364"/>
      <c r="D25" s="2722">
        <f t="shared" ref="D25:P25" si="20">SUM(D10,D12,D14,D16,D18,D20,D22,D24)</f>
        <v>0</v>
      </c>
      <c r="E25" s="2723">
        <f t="shared" si="20"/>
        <v>0</v>
      </c>
      <c r="F25" s="2723">
        <f t="shared" si="20"/>
        <v>0</v>
      </c>
      <c r="G25" s="2723">
        <f t="shared" si="20"/>
        <v>0</v>
      </c>
      <c r="H25" s="2723">
        <f t="shared" si="20"/>
        <v>0</v>
      </c>
      <c r="I25" s="2723">
        <f t="shared" si="20"/>
        <v>0</v>
      </c>
      <c r="J25" s="2723">
        <f t="shared" si="20"/>
        <v>0</v>
      </c>
      <c r="K25" s="2723">
        <f t="shared" si="20"/>
        <v>0</v>
      </c>
      <c r="L25" s="2723">
        <f t="shared" si="20"/>
        <v>0</v>
      </c>
      <c r="M25" s="2723">
        <f t="shared" si="20"/>
        <v>0</v>
      </c>
      <c r="N25" s="2723">
        <f t="shared" si="20"/>
        <v>0</v>
      </c>
      <c r="O25" s="2722">
        <f t="shared" si="20"/>
        <v>0</v>
      </c>
      <c r="P25" s="2724">
        <f t="shared" si="20"/>
        <v>0</v>
      </c>
      <c r="R25" s="2006">
        <f>SUM(R10:R24)</f>
        <v>0</v>
      </c>
      <c r="T25" s="2007"/>
      <c r="W25" s="3319">
        <f t="shared" ref="W25:AI25" si="21">SUM(W10,W12,W14,W16,W18,W20,W22,W24)</f>
        <v>0</v>
      </c>
      <c r="X25" s="3320">
        <f t="shared" si="21"/>
        <v>0</v>
      </c>
      <c r="Y25" s="3320">
        <f t="shared" si="21"/>
        <v>0</v>
      </c>
      <c r="Z25" s="3320">
        <f t="shared" si="21"/>
        <v>0</v>
      </c>
      <c r="AA25" s="3320">
        <f t="shared" si="21"/>
        <v>0</v>
      </c>
      <c r="AB25" s="3320">
        <f t="shared" si="21"/>
        <v>0</v>
      </c>
      <c r="AC25" s="3320">
        <f t="shared" si="21"/>
        <v>0</v>
      </c>
      <c r="AD25" s="3320">
        <f t="shared" si="21"/>
        <v>0</v>
      </c>
      <c r="AE25" s="3320">
        <f t="shared" si="21"/>
        <v>0</v>
      </c>
      <c r="AF25" s="3320">
        <f t="shared" si="21"/>
        <v>0</v>
      </c>
      <c r="AG25" s="3320">
        <f t="shared" si="21"/>
        <v>0</v>
      </c>
      <c r="AH25" s="3321">
        <f t="shared" si="21"/>
        <v>0</v>
      </c>
      <c r="AI25" s="3322">
        <f t="shared" si="21"/>
        <v>0</v>
      </c>
      <c r="AK25" s="2006">
        <f>SUM(AK10:AK24)</f>
        <v>0</v>
      </c>
    </row>
    <row r="26" spans="1:45" ht="6" customHeight="1" thickTop="1" thickBot="1">
      <c r="A26" s="295"/>
      <c r="B26" s="295"/>
      <c r="C26" s="296"/>
      <c r="D26" s="297"/>
      <c r="E26" s="297"/>
      <c r="F26" s="297"/>
      <c r="G26" s="297"/>
      <c r="H26" s="297"/>
      <c r="I26" s="297"/>
      <c r="J26" s="297"/>
      <c r="K26" s="297"/>
      <c r="L26" s="297"/>
      <c r="M26" s="297"/>
      <c r="N26" s="297"/>
      <c r="O26" s="297"/>
      <c r="P26" s="298"/>
      <c r="W26" s="2014"/>
      <c r="X26" s="297"/>
      <c r="Y26" s="297"/>
      <c r="Z26" s="297"/>
      <c r="AA26" s="297"/>
      <c r="AB26" s="297"/>
      <c r="AC26" s="297"/>
      <c r="AD26" s="297"/>
      <c r="AE26" s="297"/>
      <c r="AF26" s="297"/>
      <c r="AG26" s="297"/>
      <c r="AH26" s="297"/>
      <c r="AI26" s="298"/>
    </row>
    <row r="27" spans="1:45" ht="19.5" hidden="1" customHeight="1" thickTop="1" thickBot="1">
      <c r="A27" s="3393" t="s">
        <v>202</v>
      </c>
      <c r="B27" s="3394"/>
      <c r="C27" s="3395"/>
      <c r="D27" s="294">
        <f>D10*'1.Datos Básicos. Product-Serv'!$F$24+D12*'1.Datos Básicos. Product-Serv'!$F$25+D14*'1.Datos Básicos. Product-Serv'!$F$26+D16*'1.Datos Básicos. Product-Serv'!$F$27+D18*'1.Datos Básicos. Product-Serv'!$F$28+D20*'1.Datos Básicos. Product-Serv'!$F$29+D22*'1.Datos Básicos. Product-Serv'!$F$30+D24*'1.Datos Básicos. Product-Serv'!$F$31</f>
        <v>0</v>
      </c>
      <c r="E27" s="294">
        <f>E10*'1.Datos Básicos. Product-Serv'!$F$24+E12*'1.Datos Básicos. Product-Serv'!$F$25+E14*'1.Datos Básicos. Product-Serv'!$F$26+E16*'1.Datos Básicos. Product-Serv'!$F$27+E18*'1.Datos Básicos. Product-Serv'!$F$28+E20*'1.Datos Básicos. Product-Serv'!$F$29+E22*'1.Datos Básicos. Product-Serv'!$F$30+E24*'1.Datos Básicos. Product-Serv'!$F$31</f>
        <v>0</v>
      </c>
      <c r="F27" s="294">
        <f>F10*'1.Datos Básicos. Product-Serv'!$F$24+F12*'1.Datos Básicos. Product-Serv'!$F$25+F14*'1.Datos Básicos. Product-Serv'!$F$26+F16*'1.Datos Básicos. Product-Serv'!$F$27+F18*'1.Datos Básicos. Product-Serv'!$F$28+F20*'1.Datos Básicos. Product-Serv'!$F$29+F22*'1.Datos Básicos. Product-Serv'!$F$30+F24*'1.Datos Básicos. Product-Serv'!$F$31</f>
        <v>0</v>
      </c>
      <c r="G27" s="294">
        <f>G10*'1.Datos Básicos. Product-Serv'!$F$24+G12*'1.Datos Básicos. Product-Serv'!$F$25+G14*'1.Datos Básicos. Product-Serv'!$F$26+G16*'1.Datos Básicos. Product-Serv'!$F$27+G18*'1.Datos Básicos. Product-Serv'!$F$28+G20*'1.Datos Básicos. Product-Serv'!$F$29+G22*'1.Datos Básicos. Product-Serv'!$F$30+G24*'1.Datos Básicos. Product-Serv'!$F$31</f>
        <v>0</v>
      </c>
      <c r="H27" s="294">
        <f>H10*'1.Datos Básicos. Product-Serv'!$F$24+H12*'1.Datos Básicos. Product-Serv'!$F$25+H14*'1.Datos Básicos. Product-Serv'!$F$26+H16*'1.Datos Básicos. Product-Serv'!$F$27+H18*'1.Datos Básicos. Product-Serv'!$F$28+H20*'1.Datos Básicos. Product-Serv'!$F$29+H22*'1.Datos Básicos. Product-Serv'!$F$30+H24*'1.Datos Básicos. Product-Serv'!$F$31</f>
        <v>0</v>
      </c>
      <c r="I27" s="294">
        <f>I10*'1.Datos Básicos. Product-Serv'!$F$24+I12*'1.Datos Básicos. Product-Serv'!$F$25+I14*'1.Datos Básicos. Product-Serv'!$F$26+I16*'1.Datos Básicos. Product-Serv'!$F$27+I18*'1.Datos Básicos. Product-Serv'!$F$28+I20*'1.Datos Básicos. Product-Serv'!$F$29+I22*'1.Datos Básicos. Product-Serv'!$F$30+I24*'1.Datos Básicos. Product-Serv'!$F$31</f>
        <v>0</v>
      </c>
      <c r="J27" s="294">
        <f>J10*'1.Datos Básicos. Product-Serv'!$F$24+J12*'1.Datos Básicos. Product-Serv'!$F$25+J14*'1.Datos Básicos. Product-Serv'!$F$26+J16*'1.Datos Básicos. Product-Serv'!$F$27+J18*'1.Datos Básicos. Product-Serv'!$F$28+J20*'1.Datos Básicos. Product-Serv'!$F$29+J22*'1.Datos Básicos. Product-Serv'!$F$30+J24*'1.Datos Básicos. Product-Serv'!$F$31</f>
        <v>0</v>
      </c>
      <c r="K27" s="294">
        <f>K10*'1.Datos Básicos. Product-Serv'!$F$24+K12*'1.Datos Básicos. Product-Serv'!$F$25+K14*'1.Datos Básicos. Product-Serv'!$F$26+K16*'1.Datos Básicos. Product-Serv'!$F$27+K18*'1.Datos Básicos. Product-Serv'!$F$28+K20*'1.Datos Básicos. Product-Serv'!$F$29+K22*'1.Datos Básicos. Product-Serv'!$F$30+K24*'1.Datos Básicos. Product-Serv'!$F$31</f>
        <v>0</v>
      </c>
      <c r="L27" s="294">
        <f>L10*'1.Datos Básicos. Product-Serv'!$F$24+L12*'1.Datos Básicos. Product-Serv'!$F$25+L14*'1.Datos Básicos. Product-Serv'!$F$26+L16*'1.Datos Básicos. Product-Serv'!$F$27+L18*'1.Datos Básicos. Product-Serv'!$F$28+L20*'1.Datos Básicos. Product-Serv'!$F$29+L22*'1.Datos Básicos. Product-Serv'!$F$30+L24*'1.Datos Básicos. Product-Serv'!$F$31</f>
        <v>0</v>
      </c>
      <c r="M27" s="294">
        <f>M10*'1.Datos Básicos. Product-Serv'!$F$24+M12*'1.Datos Básicos. Product-Serv'!$F$25+M14*'1.Datos Básicos. Product-Serv'!$F$26+M16*'1.Datos Básicos. Product-Serv'!$F$27+M18*'1.Datos Básicos. Product-Serv'!$F$28+M20*'1.Datos Básicos. Product-Serv'!$F$29+M22*'1.Datos Básicos. Product-Serv'!$F$30+M24*'1.Datos Básicos. Product-Serv'!$F$31</f>
        <v>0</v>
      </c>
      <c r="N27" s="294">
        <f>N10*'1.Datos Básicos. Product-Serv'!$F$24+N12*'1.Datos Básicos. Product-Serv'!$F$25+N14*'1.Datos Básicos. Product-Serv'!$F$26+N16*'1.Datos Básicos. Product-Serv'!$F$27+N18*'1.Datos Básicos. Product-Serv'!$F$28+N20*'1.Datos Básicos. Product-Serv'!$F$29+N22*'1.Datos Básicos. Product-Serv'!$F$30+N24*'1.Datos Básicos. Product-Serv'!$F$31</f>
        <v>0</v>
      </c>
      <c r="O27" s="294">
        <f>O10*'1.Datos Básicos. Product-Serv'!$F$24+O12*'1.Datos Básicos. Product-Serv'!$F$25+O14*'1.Datos Básicos. Product-Serv'!$F$26+O16*'1.Datos Básicos. Product-Serv'!$F$27+O18*'1.Datos Básicos. Product-Serv'!$F$28+O20*'1.Datos Básicos. Product-Serv'!$F$29+O22*'1.Datos Básicos. Product-Serv'!$F$30+O24*'1.Datos Básicos. Product-Serv'!$F$31</f>
        <v>0</v>
      </c>
      <c r="P27" s="1671">
        <f>SUM(D27:O27)</f>
        <v>0</v>
      </c>
      <c r="Q27" s="136"/>
      <c r="R27" s="136"/>
      <c r="S27" s="136"/>
      <c r="W27" s="2013">
        <f>W10*'1.Datos Básicos. Product-Serv'!$F$24+W12*'1.Datos Básicos. Product-Serv'!$F$25+W14*'1.Datos Básicos. Product-Serv'!$F$26+W16*'1.Datos Básicos. Product-Serv'!$F$27+W18*'1.Datos Básicos. Product-Serv'!$F$28+W20*'1.Datos Básicos. Product-Serv'!$F$29+W22*'1.Datos Básicos. Product-Serv'!$F$30+W24*'1.Datos Básicos. Product-Serv'!$F$31</f>
        <v>0</v>
      </c>
      <c r="X27" s="294">
        <f>X10*'1.Datos Básicos. Product-Serv'!$F$24+X12*'1.Datos Básicos. Product-Serv'!$F$25+X14*'1.Datos Básicos. Product-Serv'!$F$26+X16*'1.Datos Básicos. Product-Serv'!$F$27+X18*'1.Datos Básicos. Product-Serv'!$F$28+X20*'1.Datos Básicos. Product-Serv'!$F$29+X22*'1.Datos Básicos. Product-Serv'!$F$30+X24*'1.Datos Básicos. Product-Serv'!$F$31</f>
        <v>0</v>
      </c>
      <c r="Y27" s="294">
        <f>Y10*'1.Datos Básicos. Product-Serv'!$F$24+Y12*'1.Datos Básicos. Product-Serv'!$F$25+Y14*'1.Datos Básicos. Product-Serv'!$F$26+Y16*'1.Datos Básicos. Product-Serv'!$F$27+Y18*'1.Datos Básicos. Product-Serv'!$F$28+Y20*'1.Datos Básicos. Product-Serv'!$F$29+Y22*'1.Datos Básicos. Product-Serv'!$F$30+Y24*'1.Datos Básicos. Product-Serv'!$F$31</f>
        <v>0</v>
      </c>
      <c r="Z27" s="294">
        <f>Z10*'1.Datos Básicos. Product-Serv'!$F$24+Z12*'1.Datos Básicos. Product-Serv'!$F$25+Z14*'1.Datos Básicos. Product-Serv'!$F$26+Z16*'1.Datos Básicos. Product-Serv'!$F$27+Z18*'1.Datos Básicos. Product-Serv'!$F$28+Z20*'1.Datos Básicos. Product-Serv'!$F$29+Z22*'1.Datos Básicos. Product-Serv'!$F$30+Z24*'1.Datos Básicos. Product-Serv'!$F$31</f>
        <v>0</v>
      </c>
      <c r="AA27" s="294">
        <f>AA10*'1.Datos Básicos. Product-Serv'!$F$24+AA12*'1.Datos Básicos. Product-Serv'!$F$25+AA14*'1.Datos Básicos. Product-Serv'!$F$26+AA16*'1.Datos Básicos. Product-Serv'!$F$27+AA18*'1.Datos Básicos. Product-Serv'!$F$28+AA20*'1.Datos Básicos. Product-Serv'!$F$29+AA22*'1.Datos Básicos. Product-Serv'!$F$30+AA24*'1.Datos Básicos. Product-Serv'!$F$31</f>
        <v>0</v>
      </c>
      <c r="AB27" s="294">
        <f>AB10*'1.Datos Básicos. Product-Serv'!$F$24+AB12*'1.Datos Básicos. Product-Serv'!$F$25+AB14*'1.Datos Básicos. Product-Serv'!$F$26+AB16*'1.Datos Básicos. Product-Serv'!$F$27+AB18*'1.Datos Básicos. Product-Serv'!$F$28+AB20*'1.Datos Básicos. Product-Serv'!$F$29+AB22*'1.Datos Básicos. Product-Serv'!$F$30+AB24*'1.Datos Básicos. Product-Serv'!$F$31</f>
        <v>0</v>
      </c>
      <c r="AC27" s="294">
        <f>AC10*'1.Datos Básicos. Product-Serv'!$F$24+AC12*'1.Datos Básicos. Product-Serv'!$F$25+AC14*'1.Datos Básicos. Product-Serv'!$F$26+AC16*'1.Datos Básicos. Product-Serv'!$F$27+AC18*'1.Datos Básicos. Product-Serv'!$F$28+AC20*'1.Datos Básicos. Product-Serv'!$F$29+AC22*'1.Datos Básicos. Product-Serv'!$F$30+AC24*'1.Datos Básicos. Product-Serv'!$F$31</f>
        <v>0</v>
      </c>
      <c r="AD27" s="294">
        <f>AD10*'1.Datos Básicos. Product-Serv'!$F$24+AD12*'1.Datos Básicos. Product-Serv'!$F$25+AD14*'1.Datos Básicos. Product-Serv'!$F$26+AD16*'1.Datos Básicos. Product-Serv'!$F$27+AD18*'1.Datos Básicos. Product-Serv'!$F$28+AD20*'1.Datos Básicos. Product-Serv'!$F$29+AD22*'1.Datos Básicos. Product-Serv'!$F$30+AD24*'1.Datos Básicos. Product-Serv'!$F$31</f>
        <v>0</v>
      </c>
      <c r="AE27" s="294">
        <f>AE10*'1.Datos Básicos. Product-Serv'!$F$24+AE12*'1.Datos Básicos. Product-Serv'!$F$25+AE14*'1.Datos Básicos. Product-Serv'!$F$26+AE16*'1.Datos Básicos. Product-Serv'!$F$27+AE18*'1.Datos Básicos. Product-Serv'!$F$28+AE20*'1.Datos Básicos. Product-Serv'!$F$29+AE22*'1.Datos Básicos. Product-Serv'!$F$30+AE24*'1.Datos Básicos. Product-Serv'!$F$31</f>
        <v>0</v>
      </c>
      <c r="AF27" s="294">
        <f>AF10*'1.Datos Básicos. Product-Serv'!$F$24+AF12*'1.Datos Básicos. Product-Serv'!$F$25+AF14*'1.Datos Básicos. Product-Serv'!$F$26+AF16*'1.Datos Básicos. Product-Serv'!$F$27+AF18*'1.Datos Básicos. Product-Serv'!$F$28+AF20*'1.Datos Básicos. Product-Serv'!$F$29+AF22*'1.Datos Básicos. Product-Serv'!$F$30+AF24*'1.Datos Básicos. Product-Serv'!$F$31</f>
        <v>0</v>
      </c>
      <c r="AG27" s="294">
        <f>AG10*'1.Datos Básicos. Product-Serv'!$F$24+AG12*'1.Datos Básicos. Product-Serv'!$F$25+AG14*'1.Datos Básicos. Product-Serv'!$F$26+AG16*'1.Datos Básicos. Product-Serv'!$F$27+AG18*'1.Datos Básicos. Product-Serv'!$F$28+AG20*'1.Datos Básicos. Product-Serv'!$F$29+AG22*'1.Datos Básicos. Product-Serv'!$F$30+AG24*'1.Datos Básicos. Product-Serv'!$F$31</f>
        <v>0</v>
      </c>
      <c r="AH27" s="294">
        <f>AH10*'1.Datos Básicos. Product-Serv'!$F$24+AH12*'1.Datos Básicos. Product-Serv'!$F$25+AH14*'1.Datos Básicos. Product-Serv'!$F$26+AH16*'1.Datos Básicos. Product-Serv'!$F$27+AH18*'1.Datos Básicos. Product-Serv'!$F$28+AH20*'1.Datos Básicos. Product-Serv'!$F$29+AH22*'1.Datos Básicos. Product-Serv'!$F$30+AH24*'1.Datos Básicos. Product-Serv'!$F$31</f>
        <v>0</v>
      </c>
      <c r="AI27" s="1671">
        <f>SUM(W27:AH27)</f>
        <v>0</v>
      </c>
    </row>
    <row r="28" spans="1:45" ht="12.75" hidden="1" customHeight="1" thickTop="1" thickBot="1">
      <c r="A28" s="291"/>
      <c r="B28" s="291"/>
      <c r="C28" s="299"/>
      <c r="D28" s="300"/>
      <c r="E28" s="300"/>
      <c r="F28" s="300"/>
      <c r="G28" s="300"/>
      <c r="H28" s="300"/>
      <c r="I28" s="300"/>
      <c r="J28" s="300"/>
      <c r="K28" s="300"/>
      <c r="L28" s="300"/>
      <c r="M28" s="300"/>
      <c r="Q28" s="136"/>
      <c r="R28" s="136"/>
      <c r="S28" s="136"/>
      <c r="W28" s="300"/>
      <c r="X28" s="300"/>
      <c r="Y28" s="300"/>
      <c r="Z28" s="300"/>
      <c r="AA28" s="300"/>
      <c r="AB28" s="300"/>
      <c r="AC28" s="300"/>
      <c r="AD28" s="300"/>
      <c r="AE28" s="300"/>
      <c r="AF28" s="300"/>
    </row>
    <row r="29" spans="1:45" ht="25.5" customHeight="1" thickTop="1" thickBot="1">
      <c r="A29" s="291"/>
      <c r="B29" s="291"/>
      <c r="C29" s="299"/>
      <c r="D29" s="300"/>
      <c r="E29" s="300"/>
      <c r="F29" s="300"/>
      <c r="G29" s="300"/>
      <c r="H29" s="300"/>
      <c r="I29" s="300"/>
      <c r="J29" s="300"/>
      <c r="K29" s="300"/>
      <c r="L29" s="300"/>
      <c r="M29" s="807"/>
      <c r="N29" s="3429" t="s">
        <v>212</v>
      </c>
      <c r="O29" s="3430"/>
      <c r="P29" s="2706" t="str">
        <f>IF(P25=0,"",'(0) 6. Mas Indicadores-Objetiv'!D37)</f>
        <v/>
      </c>
      <c r="Q29" s="136"/>
      <c r="R29" s="136"/>
      <c r="S29" s="136"/>
      <c r="W29" s="300"/>
      <c r="X29" s="300"/>
      <c r="Y29" s="300"/>
      <c r="Z29" s="300"/>
      <c r="AA29" s="300"/>
      <c r="AB29" s="300"/>
      <c r="AC29" s="300"/>
      <c r="AD29" s="300"/>
      <c r="AE29" s="300"/>
      <c r="AF29" s="300"/>
      <c r="AG29" s="3429" t="s">
        <v>212</v>
      </c>
      <c r="AH29" s="3431"/>
      <c r="AI29" s="2706" t="str">
        <f>IF(AI25=0,"",'(0) 6. Mas Indicadores-Objetiv'!E37)</f>
        <v/>
      </c>
    </row>
    <row r="30" spans="1:45" ht="22.5" customHeight="1" thickTop="1">
      <c r="C30" s="91"/>
      <c r="D30" s="88"/>
      <c r="E30" s="88"/>
      <c r="F30" s="88"/>
      <c r="G30" s="88"/>
      <c r="H30" s="88"/>
      <c r="I30" s="88"/>
      <c r="J30" s="88"/>
      <c r="K30" s="88"/>
      <c r="L30" s="88"/>
      <c r="M30" s="88"/>
      <c r="N30" s="103"/>
      <c r="O30" s="88"/>
      <c r="P30" s="235"/>
      <c r="Q30" s="136"/>
      <c r="R30" s="136"/>
      <c r="S30" s="1083"/>
      <c r="W30" s="88"/>
      <c r="X30" s="88"/>
      <c r="Y30" s="88"/>
      <c r="Z30" s="88"/>
      <c r="AA30" s="88"/>
      <c r="AB30" s="88"/>
      <c r="AC30" s="88"/>
      <c r="AD30" s="88"/>
      <c r="AE30" s="88"/>
      <c r="AF30" s="88"/>
      <c r="AG30" s="103"/>
      <c r="AH30" s="88"/>
      <c r="AI30" s="235"/>
    </row>
    <row r="31" spans="1:45" ht="22.5" customHeight="1">
      <c r="C31" s="91"/>
      <c r="D31" s="88"/>
      <c r="E31" s="88"/>
      <c r="F31" s="88"/>
      <c r="G31" s="88"/>
      <c r="H31" s="88"/>
      <c r="I31" s="88"/>
      <c r="J31" s="88"/>
      <c r="K31" s="88"/>
      <c r="L31" s="88"/>
      <c r="M31" s="88"/>
      <c r="N31" s="103"/>
      <c r="O31" s="88"/>
      <c r="P31" s="235"/>
      <c r="Q31" s="136"/>
      <c r="R31" s="136"/>
      <c r="S31" s="1083"/>
      <c r="W31" s="88"/>
      <c r="X31" s="88"/>
      <c r="Y31" s="88"/>
      <c r="Z31" s="88"/>
      <c r="AA31" s="88"/>
      <c r="AB31" s="88"/>
      <c r="AC31" s="88"/>
      <c r="AD31" s="88"/>
      <c r="AE31" s="88"/>
      <c r="AF31" s="88"/>
      <c r="AG31" s="103"/>
      <c r="AH31" s="88"/>
      <c r="AI31" s="235"/>
    </row>
    <row r="32" spans="1:45" ht="22.5" customHeight="1">
      <c r="C32" s="91"/>
      <c r="D32" s="88"/>
      <c r="E32" s="88"/>
      <c r="F32" s="88"/>
      <c r="G32" s="88"/>
      <c r="H32" s="88"/>
      <c r="I32" s="88"/>
      <c r="J32" s="88"/>
      <c r="K32" s="88"/>
      <c r="L32" s="88"/>
      <c r="M32" s="88"/>
      <c r="N32" s="103"/>
      <c r="O32" s="88"/>
      <c r="P32" s="235"/>
      <c r="Q32" s="136"/>
      <c r="R32" s="136"/>
      <c r="S32" s="1083"/>
      <c r="W32" s="88"/>
      <c r="X32" s="88"/>
      <c r="Y32" s="88"/>
      <c r="Z32" s="88"/>
      <c r="AA32" s="88"/>
      <c r="AB32" s="88"/>
      <c r="AC32" s="88"/>
      <c r="AD32" s="88"/>
      <c r="AE32" s="88"/>
      <c r="AF32" s="88"/>
      <c r="AG32" s="103"/>
      <c r="AH32" s="88"/>
      <c r="AI32" s="235"/>
    </row>
    <row r="33" spans="1:35" ht="31.5" customHeight="1">
      <c r="A33" s="1648"/>
      <c r="B33" s="1648"/>
      <c r="C33" s="3350" t="s">
        <v>645</v>
      </c>
      <c r="D33" s="3347"/>
      <c r="E33" s="3347"/>
      <c r="F33" s="3347"/>
      <c r="G33" s="3347"/>
      <c r="H33" s="3347"/>
      <c r="I33" s="3347"/>
      <c r="J33" s="3347"/>
      <c r="K33" s="3347"/>
      <c r="L33" s="3347"/>
      <c r="M33" s="3347"/>
      <c r="N33" s="3347"/>
      <c r="O33" s="3347"/>
      <c r="P33" s="1643"/>
      <c r="W33" s="3350" t="s">
        <v>645</v>
      </c>
      <c r="X33" s="3351"/>
      <c r="Y33" s="3351"/>
      <c r="Z33" s="3351"/>
      <c r="AA33" s="3351"/>
      <c r="AB33" s="3352"/>
      <c r="AC33" s="3352"/>
      <c r="AD33" s="3352"/>
      <c r="AE33" s="3352"/>
      <c r="AF33" s="3352"/>
      <c r="AG33" s="3352"/>
      <c r="AH33" s="3352"/>
      <c r="AI33" s="235"/>
    </row>
    <row r="34" spans="1:35" ht="26.25" customHeight="1">
      <c r="C34" s="91"/>
      <c r="D34" s="88"/>
      <c r="E34" s="88"/>
      <c r="F34" s="88"/>
      <c r="G34" s="88"/>
      <c r="H34" s="88"/>
      <c r="I34" s="1729" t="str">
        <f>I4</f>
        <v>1º Ejercicio 0</v>
      </c>
      <c r="J34" s="88"/>
      <c r="K34" s="88"/>
      <c r="L34" s="88"/>
      <c r="M34" s="88"/>
      <c r="N34" s="103"/>
      <c r="O34" s="88"/>
      <c r="P34" s="235"/>
      <c r="Q34" s="136"/>
      <c r="R34" s="136"/>
      <c r="S34" s="136"/>
      <c r="W34" s="88"/>
      <c r="X34" s="88"/>
      <c r="Y34" s="88"/>
      <c r="Z34" s="88"/>
      <c r="AA34" s="88"/>
      <c r="AB34" s="1729" t="str">
        <f>AB4</f>
        <v>2º Ejercicio 1</v>
      </c>
      <c r="AC34" s="88"/>
      <c r="AD34" s="88"/>
      <c r="AE34" s="88"/>
      <c r="AF34" s="88"/>
      <c r="AG34" s="103"/>
      <c r="AH34" s="88"/>
      <c r="AI34" s="235"/>
    </row>
    <row r="35" spans="1:35" ht="16.5" thickBot="1"/>
    <row r="36" spans="1:35" ht="23.25" customHeight="1" thickTop="1" thickBot="1">
      <c r="A36" s="3432" t="s">
        <v>641</v>
      </c>
      <c r="B36" s="3433"/>
      <c r="C36" s="3434"/>
      <c r="D36" s="2318" t="str">
        <f>'2.Ventas y Cobros (Ej 1º,2º)'!D8</f>
        <v>Enero</v>
      </c>
      <c r="E36" s="2714" t="str">
        <f>'2.Ventas y Cobros (Ej 1º,2º)'!E8</f>
        <v>Febrero</v>
      </c>
      <c r="F36" s="2714" t="str">
        <f>'2.Ventas y Cobros (Ej 1º,2º)'!F8</f>
        <v>Marzo</v>
      </c>
      <c r="G36" s="2714" t="str">
        <f>'2.Ventas y Cobros (Ej 1º,2º)'!G8</f>
        <v>Abril</v>
      </c>
      <c r="H36" s="2714" t="str">
        <f>'2.Ventas y Cobros (Ej 1º,2º)'!H8</f>
        <v>Mayo</v>
      </c>
      <c r="I36" s="2714" t="str">
        <f>'2.Ventas y Cobros (Ej 1º,2º)'!I8</f>
        <v>Junio</v>
      </c>
      <c r="J36" s="2714" t="str">
        <f>'2.Ventas y Cobros (Ej 1º,2º)'!J8</f>
        <v>Julio</v>
      </c>
      <c r="K36" s="2714" t="str">
        <f>'2.Ventas y Cobros (Ej 1º,2º)'!K8</f>
        <v>Agosto</v>
      </c>
      <c r="L36" s="2714" t="str">
        <f>'2.Ventas y Cobros (Ej 1º,2º)'!L8</f>
        <v>Septiembre</v>
      </c>
      <c r="M36" s="2714" t="str">
        <f>'2.Ventas y Cobros (Ej 1º,2º)'!M8</f>
        <v>Octubre</v>
      </c>
      <c r="N36" s="2714" t="str">
        <f>'2.Ventas y Cobros (Ej 1º,2º)'!N8</f>
        <v>Noviembre</v>
      </c>
      <c r="O36" s="2720" t="str">
        <f>'2.Ventas y Cobros (Ej 1º,2º)'!O8</f>
        <v>Diciembre</v>
      </c>
      <c r="P36" s="1818" t="s">
        <v>7</v>
      </c>
      <c r="W36" s="1819" t="str">
        <f>'2.Ventas y Cobros (Ej 1º,2º)'!W8</f>
        <v>Enero</v>
      </c>
      <c r="X36" s="1817" t="str">
        <f>'2.Ventas y Cobros (Ej 1º,2º)'!X8</f>
        <v>Febrero</v>
      </c>
      <c r="Y36" s="1817" t="str">
        <f>'2.Ventas y Cobros (Ej 1º,2º)'!Y8</f>
        <v>Marzo</v>
      </c>
      <c r="Z36" s="1817" t="str">
        <f>'2.Ventas y Cobros (Ej 1º,2º)'!Z8</f>
        <v>Abril</v>
      </c>
      <c r="AA36" s="1817" t="str">
        <f>'2.Ventas y Cobros (Ej 1º,2º)'!AA8</f>
        <v>Mayo</v>
      </c>
      <c r="AB36" s="1817" t="str">
        <f>'2.Ventas y Cobros (Ej 1º,2º)'!AB8</f>
        <v>Junio</v>
      </c>
      <c r="AC36" s="1817" t="str">
        <f>'2.Ventas y Cobros (Ej 1º,2º)'!AC8</f>
        <v>Julio</v>
      </c>
      <c r="AD36" s="1817" t="str">
        <f>'2.Ventas y Cobros (Ej 1º,2º)'!AD8</f>
        <v>Agosto</v>
      </c>
      <c r="AE36" s="1817" t="str">
        <f>'2.Ventas y Cobros (Ej 1º,2º)'!AE8</f>
        <v>Septiembre</v>
      </c>
      <c r="AF36" s="1817" t="str">
        <f>'2.Ventas y Cobros (Ej 1º,2º)'!AF8</f>
        <v>Octubre</v>
      </c>
      <c r="AG36" s="1817" t="str">
        <f>'2.Ventas y Cobros (Ej 1º,2º)'!AG8</f>
        <v>Noviembre</v>
      </c>
      <c r="AH36" s="1817" t="str">
        <f>'2.Ventas y Cobros (Ej 1º,2º)'!AH8</f>
        <v>Diciembre</v>
      </c>
      <c r="AI36" s="1818" t="s">
        <v>7</v>
      </c>
    </row>
    <row r="37" spans="1:35" ht="19.5" customHeight="1" thickBot="1">
      <c r="A37" s="3435"/>
      <c r="B37" s="3436"/>
      <c r="C37" s="3437"/>
      <c r="D37" s="2719">
        <f>'2.Ventas y Cobros (Ej 1º,2º)'!D25+'2.Ventas y Cobros (Ej 1º,2º)'!D27</f>
        <v>0</v>
      </c>
      <c r="E37" s="2721">
        <f>'2.Ventas y Cobros (Ej 1º,2º)'!E25+'2.Ventas y Cobros (Ej 1º,2º)'!E27</f>
        <v>0</v>
      </c>
      <c r="F37" s="2721">
        <f>'2.Ventas y Cobros (Ej 1º,2º)'!F25+'2.Ventas y Cobros (Ej 1º,2º)'!F27</f>
        <v>0</v>
      </c>
      <c r="G37" s="2721">
        <f>'2.Ventas y Cobros (Ej 1º,2º)'!G25+'2.Ventas y Cobros (Ej 1º,2º)'!G27</f>
        <v>0</v>
      </c>
      <c r="H37" s="2721">
        <f>'2.Ventas y Cobros (Ej 1º,2º)'!H25+'2.Ventas y Cobros (Ej 1º,2º)'!H27</f>
        <v>0</v>
      </c>
      <c r="I37" s="2721">
        <f>'2.Ventas y Cobros (Ej 1º,2º)'!I25+'2.Ventas y Cobros (Ej 1º,2º)'!I27</f>
        <v>0</v>
      </c>
      <c r="J37" s="2721">
        <f>'2.Ventas y Cobros (Ej 1º,2º)'!J25+'2.Ventas y Cobros (Ej 1º,2º)'!J27</f>
        <v>0</v>
      </c>
      <c r="K37" s="2721">
        <f>'2.Ventas y Cobros (Ej 1º,2º)'!K25+'2.Ventas y Cobros (Ej 1º,2º)'!K27</f>
        <v>0</v>
      </c>
      <c r="L37" s="2721">
        <f>'2.Ventas y Cobros (Ej 1º,2º)'!L25+'2.Ventas y Cobros (Ej 1º,2º)'!L27</f>
        <v>0</v>
      </c>
      <c r="M37" s="2721">
        <f>'2.Ventas y Cobros (Ej 1º,2º)'!M25+'2.Ventas y Cobros (Ej 1º,2º)'!M27</f>
        <v>0</v>
      </c>
      <c r="N37" s="2721">
        <f>'2.Ventas y Cobros (Ej 1º,2º)'!N25+'2.Ventas y Cobros (Ej 1º,2º)'!N27</f>
        <v>0</v>
      </c>
      <c r="O37" s="467">
        <f>'2.Ventas y Cobros (Ej 1º,2º)'!O25+'2.Ventas y Cobros (Ej 1º,2º)'!O27</f>
        <v>0</v>
      </c>
      <c r="P37" s="793">
        <f>SUM(D37:O37)</f>
        <v>0</v>
      </c>
      <c r="W37" s="1670">
        <f>('2.Ventas y Cobros (Ej 1º,2º)'!W25+'2.Ventas y Cobros (Ej 1º,2º)'!W27)</f>
        <v>0</v>
      </c>
      <c r="X37" s="467">
        <f>('2.Ventas y Cobros (Ej 1º,2º)'!X25+'2.Ventas y Cobros (Ej 1º,2º)'!X27)</f>
        <v>0</v>
      </c>
      <c r="Y37" s="467">
        <f>('2.Ventas y Cobros (Ej 1º,2º)'!Y25+'2.Ventas y Cobros (Ej 1º,2º)'!Y27)</f>
        <v>0</v>
      </c>
      <c r="Z37" s="467">
        <f>('2.Ventas y Cobros (Ej 1º,2º)'!Z25+'2.Ventas y Cobros (Ej 1º,2º)'!Z27)</f>
        <v>0</v>
      </c>
      <c r="AA37" s="467">
        <f>('2.Ventas y Cobros (Ej 1º,2º)'!AA25+'2.Ventas y Cobros (Ej 1º,2º)'!AA27)</f>
        <v>0</v>
      </c>
      <c r="AB37" s="467">
        <f>('2.Ventas y Cobros (Ej 1º,2º)'!AB25+'2.Ventas y Cobros (Ej 1º,2º)'!AB27)</f>
        <v>0</v>
      </c>
      <c r="AC37" s="467">
        <f>('2.Ventas y Cobros (Ej 1º,2º)'!AC25+'2.Ventas y Cobros (Ej 1º,2º)'!AC27)</f>
        <v>0</v>
      </c>
      <c r="AD37" s="467">
        <f>('2.Ventas y Cobros (Ej 1º,2º)'!AD25+'2.Ventas y Cobros (Ej 1º,2º)'!AD27)</f>
        <v>0</v>
      </c>
      <c r="AE37" s="467">
        <f>('2.Ventas y Cobros (Ej 1º,2º)'!AE25+'2.Ventas y Cobros (Ej 1º,2º)'!AE27)</f>
        <v>0</v>
      </c>
      <c r="AF37" s="467">
        <f>('2.Ventas y Cobros (Ej 1º,2º)'!AF25+'2.Ventas y Cobros (Ej 1º,2º)'!AF27)</f>
        <v>0</v>
      </c>
      <c r="AG37" s="467">
        <f>('2.Ventas y Cobros (Ej 1º,2º)'!AG25+'2.Ventas y Cobros (Ej 1º,2º)'!AG27)</f>
        <v>0</v>
      </c>
      <c r="AH37" s="467">
        <f>('2.Ventas y Cobros (Ej 1º,2º)'!AH25+'2.Ventas y Cobros (Ej 1º,2º)'!AH27)</f>
        <v>0</v>
      </c>
      <c r="AI37" s="793">
        <f>SUM(W37:AH37)</f>
        <v>0</v>
      </c>
    </row>
    <row r="38" spans="1:35" s="136" customFormat="1" ht="19.5" customHeight="1" thickTop="1">
      <c r="A38" s="592"/>
      <c r="B38" s="592"/>
      <c r="C38" s="1674"/>
      <c r="D38" s="488"/>
      <c r="E38" s="488"/>
      <c r="F38" s="488"/>
      <c r="G38" s="488"/>
      <c r="H38" s="488"/>
      <c r="I38" s="488"/>
      <c r="J38" s="488"/>
      <c r="K38" s="488"/>
      <c r="L38" s="488"/>
      <c r="M38" s="488"/>
      <c r="N38" s="488"/>
      <c r="O38" s="488"/>
      <c r="P38" s="488"/>
      <c r="T38" s="1829"/>
      <c r="W38" s="488"/>
      <c r="X38" s="488"/>
      <c r="Y38" s="488"/>
      <c r="Z38" s="488"/>
      <c r="AA38" s="488"/>
      <c r="AB38" s="488"/>
      <c r="AC38" s="488"/>
      <c r="AD38" s="488"/>
      <c r="AE38" s="488"/>
      <c r="AF38" s="488"/>
      <c r="AG38" s="488"/>
      <c r="AH38" s="488"/>
      <c r="AI38" s="488"/>
    </row>
    <row r="39" spans="1:35" s="136" customFormat="1" ht="19.5" customHeight="1" thickBot="1">
      <c r="A39" s="592"/>
      <c r="B39" s="592"/>
      <c r="C39" s="1674"/>
      <c r="D39" s="3427" t="s">
        <v>633</v>
      </c>
      <c r="E39" s="3428"/>
      <c r="F39" s="3428"/>
      <c r="G39" s="488"/>
      <c r="H39" s="488"/>
      <c r="I39" s="488"/>
      <c r="J39" s="488"/>
      <c r="K39" s="488"/>
      <c r="L39" s="488"/>
      <c r="M39" s="488"/>
      <c r="N39" s="488"/>
      <c r="O39" s="488"/>
      <c r="P39" s="488"/>
      <c r="T39" s="1829"/>
      <c r="W39" s="3427" t="s">
        <v>633</v>
      </c>
      <c r="X39" s="3428"/>
      <c r="Y39" s="3428"/>
      <c r="Z39" s="488"/>
      <c r="AA39" s="488"/>
      <c r="AB39" s="488"/>
      <c r="AC39" s="488"/>
      <c r="AD39" s="488"/>
      <c r="AE39" s="488"/>
      <c r="AF39" s="488"/>
      <c r="AG39" s="488"/>
      <c r="AH39" s="488"/>
      <c r="AI39" s="488"/>
    </row>
    <row r="40" spans="1:35" s="136" customFormat="1" ht="26.25" customHeight="1" thickTop="1" thickBot="1">
      <c r="A40" s="592"/>
      <c r="B40" s="592"/>
      <c r="C40" s="1674"/>
      <c r="D40" s="3355" t="s">
        <v>158</v>
      </c>
      <c r="E40" s="3356"/>
      <c r="F40" s="3356"/>
      <c r="G40" s="3399" t="s">
        <v>205</v>
      </c>
      <c r="H40" s="3400"/>
      <c r="I40" s="3401"/>
      <c r="J40" s="488"/>
      <c r="K40" s="488"/>
      <c r="L40" s="488"/>
      <c r="M40" s="488"/>
      <c r="N40" s="488"/>
      <c r="O40" s="488"/>
      <c r="P40" s="488"/>
      <c r="T40" s="1829"/>
      <c r="W40" s="3355" t="s">
        <v>158</v>
      </c>
      <c r="X40" s="3356"/>
      <c r="Y40" s="3356"/>
      <c r="Z40" s="3399" t="s">
        <v>205</v>
      </c>
      <c r="AA40" s="3400"/>
      <c r="AB40" s="3401"/>
      <c r="AC40" s="488"/>
      <c r="AD40" s="488"/>
      <c r="AE40" s="488"/>
      <c r="AF40" s="488"/>
      <c r="AG40" s="488"/>
      <c r="AH40" s="488"/>
      <c r="AI40" s="488"/>
    </row>
    <row r="41" spans="1:35" s="136" customFormat="1" ht="18" customHeight="1" thickTop="1">
      <c r="A41" s="592"/>
      <c r="B41" s="1207"/>
      <c r="C41" s="1675"/>
      <c r="D41" s="3396" t="s">
        <v>55</v>
      </c>
      <c r="E41" s="3397"/>
      <c r="F41" s="3398"/>
      <c r="G41" s="3402">
        <v>1</v>
      </c>
      <c r="H41" s="3403"/>
      <c r="I41" s="3404"/>
      <c r="J41" s="488"/>
      <c r="K41" s="488"/>
      <c r="L41" s="1730"/>
      <c r="M41" s="488"/>
      <c r="N41" s="488"/>
      <c r="O41" s="488"/>
      <c r="P41" s="488"/>
      <c r="T41" s="1829"/>
      <c r="W41" s="3396" t="s">
        <v>55</v>
      </c>
      <c r="X41" s="3397"/>
      <c r="Y41" s="3398"/>
      <c r="Z41" s="3424">
        <f>G41</f>
        <v>1</v>
      </c>
      <c r="AA41" s="3425"/>
      <c r="AB41" s="3426"/>
      <c r="AC41" s="488"/>
      <c r="AD41" s="488"/>
      <c r="AE41" s="488"/>
      <c r="AF41" s="488"/>
      <c r="AG41" s="488"/>
      <c r="AH41" s="488"/>
      <c r="AI41" s="488"/>
    </row>
    <row r="42" spans="1:35" s="136" customFormat="1" ht="18" customHeight="1">
      <c r="A42" s="1673"/>
      <c r="B42" s="1673"/>
      <c r="C42" s="1591"/>
      <c r="D42" s="3365" t="s">
        <v>56</v>
      </c>
      <c r="E42" s="3366"/>
      <c r="F42" s="3367"/>
      <c r="G42" s="3378"/>
      <c r="H42" s="3379"/>
      <c r="I42" s="3380"/>
      <c r="J42" s="488"/>
      <c r="K42" s="488"/>
      <c r="L42" s="488"/>
      <c r="M42" s="488"/>
      <c r="N42" s="488"/>
      <c r="O42" s="488"/>
      <c r="P42" s="488"/>
      <c r="T42" s="1829"/>
      <c r="W42" s="3365" t="s">
        <v>56</v>
      </c>
      <c r="X42" s="3366"/>
      <c r="Y42" s="3367"/>
      <c r="Z42" s="3378">
        <f>G42</f>
        <v>0</v>
      </c>
      <c r="AA42" s="3417"/>
      <c r="AB42" s="3418"/>
      <c r="AC42" s="488"/>
      <c r="AD42" s="488"/>
      <c r="AE42" s="488"/>
      <c r="AF42" s="488"/>
      <c r="AG42" s="488"/>
      <c r="AH42" s="488"/>
      <c r="AI42" s="488"/>
    </row>
    <row r="43" spans="1:35" s="136" customFormat="1" ht="18" customHeight="1">
      <c r="A43" s="1673"/>
      <c r="B43" s="1673"/>
      <c r="C43" s="1591"/>
      <c r="D43" s="3365" t="s">
        <v>266</v>
      </c>
      <c r="E43" s="3366"/>
      <c r="F43" s="3367"/>
      <c r="G43" s="3378"/>
      <c r="H43" s="3379"/>
      <c r="I43" s="3380"/>
      <c r="J43" s="488"/>
      <c r="K43" s="488"/>
      <c r="L43" s="488"/>
      <c r="M43" s="488"/>
      <c r="N43" s="488"/>
      <c r="O43" s="488"/>
      <c r="P43" s="488"/>
      <c r="T43" s="1829"/>
      <c r="W43" s="3365" t="s">
        <v>266</v>
      </c>
      <c r="X43" s="3366"/>
      <c r="Y43" s="3367"/>
      <c r="Z43" s="3378">
        <f>G43</f>
        <v>0</v>
      </c>
      <c r="AA43" s="3417"/>
      <c r="AB43" s="3418"/>
      <c r="AC43" s="488"/>
      <c r="AD43" s="488"/>
      <c r="AE43" s="488"/>
      <c r="AF43" s="488"/>
      <c r="AG43" s="488"/>
      <c r="AH43" s="488"/>
      <c r="AI43" s="488"/>
    </row>
    <row r="44" spans="1:35" s="136" customFormat="1" ht="18" customHeight="1">
      <c r="A44" s="1673"/>
      <c r="B44" s="1673"/>
      <c r="C44" s="1591"/>
      <c r="D44" s="3365" t="s">
        <v>57</v>
      </c>
      <c r="E44" s="3366"/>
      <c r="F44" s="3367"/>
      <c r="G44" s="3378"/>
      <c r="H44" s="3379"/>
      <c r="I44" s="3380"/>
      <c r="J44" s="488"/>
      <c r="K44" s="488"/>
      <c r="L44" s="488"/>
      <c r="M44" s="488"/>
      <c r="N44" s="488"/>
      <c r="O44" s="488"/>
      <c r="P44" s="488"/>
      <c r="T44" s="1829"/>
      <c r="W44" s="3365" t="s">
        <v>57</v>
      </c>
      <c r="X44" s="3366"/>
      <c r="Y44" s="3367"/>
      <c r="Z44" s="3378">
        <f>G44</f>
        <v>0</v>
      </c>
      <c r="AA44" s="3417"/>
      <c r="AB44" s="3418"/>
      <c r="AC44" s="488"/>
      <c r="AD44" s="488"/>
      <c r="AE44" s="488"/>
      <c r="AF44" s="488"/>
      <c r="AG44" s="488"/>
      <c r="AH44" s="488"/>
      <c r="AI44" s="488"/>
    </row>
    <row r="45" spans="1:35" s="136" customFormat="1" ht="18" customHeight="1">
      <c r="A45" s="1673"/>
      <c r="B45" s="1673"/>
      <c r="C45" s="1591"/>
      <c r="D45" s="3365" t="s">
        <v>58</v>
      </c>
      <c r="E45" s="3366"/>
      <c r="F45" s="3367"/>
      <c r="G45" s="3378"/>
      <c r="H45" s="3379"/>
      <c r="I45" s="3380"/>
      <c r="J45" s="488"/>
      <c r="K45" s="488"/>
      <c r="L45" s="488"/>
      <c r="M45" s="488"/>
      <c r="N45" s="488"/>
      <c r="O45" s="488"/>
      <c r="P45" s="488"/>
      <c r="T45" s="1829"/>
      <c r="W45" s="3365" t="s">
        <v>58</v>
      </c>
      <c r="X45" s="3366"/>
      <c r="Y45" s="3367"/>
      <c r="Z45" s="3378">
        <f t="shared" ref="Z45:Z49" si="22">G45</f>
        <v>0</v>
      </c>
      <c r="AA45" s="3417"/>
      <c r="AB45" s="3418"/>
      <c r="AC45" s="488"/>
      <c r="AD45" s="488"/>
      <c r="AE45" s="488"/>
      <c r="AF45" s="488"/>
      <c r="AG45" s="488"/>
      <c r="AH45" s="488"/>
      <c r="AI45" s="488"/>
    </row>
    <row r="46" spans="1:35" s="136" customFormat="1" ht="18" customHeight="1">
      <c r="A46" s="1673"/>
      <c r="B46" s="1673"/>
      <c r="C46" s="1591"/>
      <c r="D46" s="3365" t="s">
        <v>59</v>
      </c>
      <c r="E46" s="3366"/>
      <c r="F46" s="3367"/>
      <c r="G46" s="3378"/>
      <c r="H46" s="3379"/>
      <c r="I46" s="3380"/>
      <c r="J46" s="488"/>
      <c r="K46" s="488"/>
      <c r="L46" s="488"/>
      <c r="M46" s="488"/>
      <c r="N46" s="488"/>
      <c r="O46" s="488"/>
      <c r="P46" s="488"/>
      <c r="T46" s="1829"/>
      <c r="W46" s="3365" t="s">
        <v>59</v>
      </c>
      <c r="X46" s="3366"/>
      <c r="Y46" s="3367"/>
      <c r="Z46" s="3378">
        <f t="shared" si="22"/>
        <v>0</v>
      </c>
      <c r="AA46" s="3417"/>
      <c r="AB46" s="3418"/>
      <c r="AC46" s="488"/>
      <c r="AD46" s="488"/>
      <c r="AE46" s="488"/>
      <c r="AF46" s="488"/>
      <c r="AG46" s="488"/>
      <c r="AH46" s="488"/>
      <c r="AI46" s="488"/>
    </row>
    <row r="47" spans="1:35" s="136" customFormat="1" ht="18" customHeight="1">
      <c r="A47" s="1673"/>
      <c r="B47" s="1673"/>
      <c r="C47" s="1591"/>
      <c r="D47" s="3365" t="s">
        <v>60</v>
      </c>
      <c r="E47" s="3366"/>
      <c r="F47" s="3367"/>
      <c r="G47" s="3378"/>
      <c r="H47" s="3379"/>
      <c r="I47" s="3380"/>
      <c r="J47" s="488"/>
      <c r="K47" s="488"/>
      <c r="L47" s="488"/>
      <c r="M47" s="488"/>
      <c r="N47" s="488"/>
      <c r="O47" s="488"/>
      <c r="P47" s="488"/>
      <c r="T47" s="1829"/>
      <c r="W47" s="3365" t="s">
        <v>60</v>
      </c>
      <c r="X47" s="3366"/>
      <c r="Y47" s="3367"/>
      <c r="Z47" s="3378">
        <f t="shared" si="22"/>
        <v>0</v>
      </c>
      <c r="AA47" s="3417"/>
      <c r="AB47" s="3418"/>
      <c r="AC47" s="488"/>
      <c r="AD47" s="488"/>
      <c r="AE47" s="488"/>
      <c r="AF47" s="488"/>
      <c r="AG47" s="488"/>
      <c r="AH47" s="488"/>
      <c r="AI47" s="488"/>
    </row>
    <row r="48" spans="1:35" s="136" customFormat="1" ht="18" customHeight="1">
      <c r="A48" s="1673"/>
      <c r="B48" s="1673"/>
      <c r="C48" s="1591"/>
      <c r="D48" s="3365" t="s">
        <v>61</v>
      </c>
      <c r="E48" s="3366"/>
      <c r="F48" s="3367"/>
      <c r="G48" s="3378"/>
      <c r="H48" s="3379"/>
      <c r="I48" s="3380"/>
      <c r="J48" s="488"/>
      <c r="K48" s="488"/>
      <c r="L48" s="488"/>
      <c r="M48" s="488"/>
      <c r="N48" s="488"/>
      <c r="O48" s="488"/>
      <c r="P48" s="488"/>
      <c r="T48" s="1829"/>
      <c r="W48" s="3365" t="s">
        <v>61</v>
      </c>
      <c r="X48" s="3366"/>
      <c r="Y48" s="3367"/>
      <c r="Z48" s="3378">
        <f t="shared" si="22"/>
        <v>0</v>
      </c>
      <c r="AA48" s="3417"/>
      <c r="AB48" s="3418"/>
      <c r="AC48" s="488"/>
      <c r="AD48" s="488"/>
      <c r="AE48" s="488"/>
      <c r="AF48" s="488"/>
      <c r="AG48" s="488"/>
      <c r="AH48" s="488"/>
      <c r="AI48" s="488"/>
    </row>
    <row r="49" spans="1:37" s="136" customFormat="1" ht="18" customHeight="1" thickBot="1">
      <c r="A49" s="1673"/>
      <c r="B49" s="1673"/>
      <c r="C49" s="1591"/>
      <c r="D49" s="3365" t="s">
        <v>267</v>
      </c>
      <c r="E49" s="3366"/>
      <c r="F49" s="3367"/>
      <c r="G49" s="3378"/>
      <c r="H49" s="3379"/>
      <c r="I49" s="3380"/>
      <c r="J49" s="488"/>
      <c r="K49" s="488"/>
      <c r="L49" s="488"/>
      <c r="M49" s="488"/>
      <c r="N49" s="488"/>
      <c r="O49" s="488"/>
      <c r="P49" s="488"/>
      <c r="T49" s="1829"/>
      <c r="W49" s="3365" t="s">
        <v>267</v>
      </c>
      <c r="X49" s="3366"/>
      <c r="Y49" s="3367"/>
      <c r="Z49" s="3378">
        <f t="shared" si="22"/>
        <v>0</v>
      </c>
      <c r="AA49" s="3417"/>
      <c r="AB49" s="3418"/>
      <c r="AC49" s="488"/>
      <c r="AD49" s="488"/>
      <c r="AE49" s="488"/>
      <c r="AF49" s="488"/>
      <c r="AG49" s="488"/>
      <c r="AH49" s="488"/>
      <c r="AI49" s="488"/>
    </row>
    <row r="50" spans="1:37" s="136" customFormat="1" ht="18" hidden="1" customHeight="1" thickBot="1">
      <c r="A50" s="1673"/>
      <c r="B50" s="1716"/>
      <c r="C50" s="1717"/>
      <c r="D50" s="3405" t="s">
        <v>268</v>
      </c>
      <c r="E50" s="3406"/>
      <c r="F50" s="3407"/>
      <c r="G50" s="3383"/>
      <c r="H50" s="3384"/>
      <c r="I50" s="3385"/>
      <c r="J50" s="488"/>
      <c r="K50" s="488"/>
      <c r="L50" s="488"/>
      <c r="M50" s="488"/>
      <c r="N50" s="488"/>
      <c r="O50" s="488"/>
      <c r="P50" s="488"/>
      <c r="T50" s="1829"/>
      <c r="W50" s="3405" t="s">
        <v>268</v>
      </c>
      <c r="X50" s="3406"/>
      <c r="Y50" s="3407"/>
      <c r="Z50" s="3419">
        <f>'2.Ventas y Cobros (Ej 1º,2º)'!G50</f>
        <v>0</v>
      </c>
      <c r="AA50" s="3420"/>
      <c r="AB50" s="3421"/>
      <c r="AC50" s="488"/>
      <c r="AD50" s="488"/>
      <c r="AE50" s="488"/>
      <c r="AF50" s="488"/>
      <c r="AG50" s="488"/>
      <c r="AH50" s="488"/>
      <c r="AI50" s="488"/>
    </row>
    <row r="51" spans="1:37" s="136" customFormat="1" ht="19.5" customHeight="1" thickTop="1" thickBot="1">
      <c r="A51" s="592"/>
      <c r="B51" s="592"/>
      <c r="C51" s="1674"/>
      <c r="D51" s="3386" t="s">
        <v>150</v>
      </c>
      <c r="E51" s="3387"/>
      <c r="F51" s="3388"/>
      <c r="G51" s="3389">
        <f>SUM(G41:I50)</f>
        <v>1</v>
      </c>
      <c r="H51" s="3390"/>
      <c r="I51" s="3391"/>
      <c r="J51" s="488"/>
      <c r="K51" s="488"/>
      <c r="L51" s="488"/>
      <c r="M51" s="488"/>
      <c r="N51" s="488"/>
      <c r="O51" s="488"/>
      <c r="P51" s="488"/>
      <c r="T51" s="1829"/>
      <c r="W51" s="3386" t="s">
        <v>150</v>
      </c>
      <c r="X51" s="3387"/>
      <c r="Y51" s="3388"/>
      <c r="Z51" s="3389">
        <f>SUM(Z41:AB50)</f>
        <v>1</v>
      </c>
      <c r="AA51" s="3390"/>
      <c r="AB51" s="3391"/>
      <c r="AC51" s="488"/>
      <c r="AD51" s="488"/>
      <c r="AE51" s="488"/>
      <c r="AF51" s="488"/>
      <c r="AG51" s="488"/>
      <c r="AH51" s="488"/>
      <c r="AI51" s="488"/>
    </row>
    <row r="52" spans="1:37" s="136" customFormat="1" ht="19.5" customHeight="1" thickTop="1">
      <c r="A52" s="592"/>
      <c r="B52" s="592"/>
      <c r="C52" s="1674"/>
      <c r="D52" s="1731"/>
      <c r="E52" s="1673"/>
      <c r="F52" s="1673"/>
      <c r="G52" s="1732"/>
      <c r="H52" s="159"/>
      <c r="I52" s="159"/>
      <c r="J52" s="488"/>
      <c r="K52" s="488"/>
      <c r="L52" s="488"/>
      <c r="M52" s="488"/>
      <c r="N52" s="488"/>
      <c r="O52" s="488"/>
      <c r="P52" s="488"/>
      <c r="T52" s="1829"/>
      <c r="W52" s="1731"/>
      <c r="X52" s="1673"/>
      <c r="Y52" s="1673"/>
      <c r="Z52" s="1732"/>
      <c r="AA52" s="159"/>
      <c r="AB52" s="159"/>
      <c r="AC52" s="488"/>
      <c r="AD52" s="488"/>
      <c r="AE52" s="488"/>
      <c r="AF52" s="488"/>
      <c r="AG52" s="488"/>
      <c r="AH52" s="488"/>
      <c r="AI52" s="488"/>
    </row>
    <row r="53" spans="1:37" s="136" customFormat="1" ht="19.5" customHeight="1" thickBot="1">
      <c r="A53" s="592"/>
      <c r="B53" s="592"/>
      <c r="C53" s="1674"/>
      <c r="D53" s="488"/>
      <c r="E53" s="488"/>
      <c r="F53" s="488"/>
      <c r="G53" s="488"/>
      <c r="H53" s="488"/>
      <c r="I53" s="488"/>
      <c r="J53" s="488"/>
      <c r="K53" s="488"/>
      <c r="L53" s="488"/>
      <c r="M53" s="488"/>
      <c r="N53" s="488"/>
      <c r="O53" s="488"/>
      <c r="P53" s="488"/>
      <c r="T53" s="1829"/>
      <c r="W53" s="488"/>
      <c r="X53" s="488"/>
      <c r="Y53" s="488"/>
      <c r="Z53" s="488"/>
      <c r="AA53" s="488"/>
      <c r="AB53" s="488"/>
      <c r="AC53" s="488"/>
      <c r="AD53" s="488"/>
      <c r="AE53" s="488"/>
      <c r="AF53" s="488"/>
      <c r="AG53" s="488"/>
      <c r="AH53" s="488"/>
      <c r="AI53" s="488"/>
    </row>
    <row r="54" spans="1:37" ht="18" hidden="1" thickTop="1" thickBot="1">
      <c r="A54" s="1"/>
      <c r="B54" s="1580"/>
      <c r="C54" s="836" t="s">
        <v>158</v>
      </c>
      <c r="D54" s="837" t="str">
        <f>'2.Ventas y Cobros (Ej 1º,2º)'!D36</f>
        <v>Enero</v>
      </c>
      <c r="E54" s="838" t="str">
        <f>'2.Ventas y Cobros (Ej 1º,2º)'!E36</f>
        <v>Febrero</v>
      </c>
      <c r="F54" s="838" t="str">
        <f>'2.Ventas y Cobros (Ej 1º,2º)'!F36</f>
        <v>Marzo</v>
      </c>
      <c r="G54" s="838" t="str">
        <f>'2.Ventas y Cobros (Ej 1º,2º)'!G36</f>
        <v>Abril</v>
      </c>
      <c r="H54" s="838" t="str">
        <f>'2.Ventas y Cobros (Ej 1º,2º)'!H36</f>
        <v>Mayo</v>
      </c>
      <c r="I54" s="838" t="str">
        <f>'2.Ventas y Cobros (Ej 1º,2º)'!I36</f>
        <v>Junio</v>
      </c>
      <c r="J54" s="838" t="str">
        <f>'2.Ventas y Cobros (Ej 1º,2º)'!J36</f>
        <v>Julio</v>
      </c>
      <c r="K54" s="838" t="str">
        <f>'2.Ventas y Cobros (Ej 1º,2º)'!K36</f>
        <v>Agosto</v>
      </c>
      <c r="L54" s="838" t="str">
        <f>'2.Ventas y Cobros (Ej 1º,2º)'!L36</f>
        <v>Septiembre</v>
      </c>
      <c r="M54" s="838" t="str">
        <f>'2.Ventas y Cobros (Ej 1º,2º)'!M36</f>
        <v>Octubre</v>
      </c>
      <c r="N54" s="838" t="str">
        <f>'2.Ventas y Cobros (Ej 1º,2º)'!N36</f>
        <v>Noviembre</v>
      </c>
      <c r="O54" s="839" t="str">
        <f>'2.Ventas y Cobros (Ej 1º,2º)'!O36</f>
        <v>Diciembre</v>
      </c>
      <c r="P54" s="840" t="str">
        <f>'2.Ventas y Cobros (Ej 1º,2º)'!P36</f>
        <v>Total</v>
      </c>
      <c r="Q54" s="796"/>
      <c r="V54" s="587"/>
      <c r="W54" s="1820" t="str">
        <f>'2.Ventas y Cobros (Ej 1º,2º)'!W36</f>
        <v>Enero</v>
      </c>
      <c r="X54" s="1821" t="str">
        <f>'2.Ventas y Cobros (Ej 1º,2º)'!X36</f>
        <v>Febrero</v>
      </c>
      <c r="Y54" s="1821" t="str">
        <f>'2.Ventas y Cobros (Ej 1º,2º)'!Y36</f>
        <v>Marzo</v>
      </c>
      <c r="Z54" s="1821" t="str">
        <f>'2.Ventas y Cobros (Ej 1º,2º)'!Z36</f>
        <v>Abril</v>
      </c>
      <c r="AA54" s="1821" t="str">
        <f>'2.Ventas y Cobros (Ej 1º,2º)'!AA36</f>
        <v>Mayo</v>
      </c>
      <c r="AB54" s="1821" t="str">
        <f>'2.Ventas y Cobros (Ej 1º,2º)'!AB36</f>
        <v>Junio</v>
      </c>
      <c r="AC54" s="1821" t="str">
        <f>'2.Ventas y Cobros (Ej 1º,2º)'!AC36</f>
        <v>Julio</v>
      </c>
      <c r="AD54" s="1821" t="str">
        <f>'2.Ventas y Cobros (Ej 1º,2º)'!AD36</f>
        <v>Agosto</v>
      </c>
      <c r="AE54" s="1821" t="str">
        <f>'2.Ventas y Cobros (Ej 1º,2º)'!AE36</f>
        <v>Septiembre</v>
      </c>
      <c r="AF54" s="1821" t="str">
        <f>'2.Ventas y Cobros (Ej 1º,2º)'!AF36</f>
        <v>Octubre</v>
      </c>
      <c r="AG54" s="1821" t="str">
        <f>'2.Ventas y Cobros (Ej 1º,2º)'!AG36</f>
        <v>Noviembre</v>
      </c>
      <c r="AH54" s="1822" t="str">
        <f>'2.Ventas y Cobros (Ej 1º,2º)'!AH36</f>
        <v>Diciembre</v>
      </c>
      <c r="AI54" s="1823" t="str">
        <f>'2.Ventas y Cobros (Ej 1º,2º)'!AI36</f>
        <v>Total</v>
      </c>
      <c r="AJ54" s="796"/>
    </row>
    <row r="55" spans="1:37" s="1676" customFormat="1" ht="16.5" hidden="1">
      <c r="B55" s="1714"/>
      <c r="C55" s="1677" t="s">
        <v>55</v>
      </c>
      <c r="D55" s="1678">
        <f>'2.Ventas y Cobros (Ej 1º,2º)'!D$37*'2.Ventas y Cobros (Ej 1º,2º)'!$G41</f>
        <v>0</v>
      </c>
      <c r="E55" s="1679">
        <f>'2.Ventas y Cobros (Ej 1º,2º)'!E$37*'2.Ventas y Cobros (Ej 1º,2º)'!$G41</f>
        <v>0</v>
      </c>
      <c r="F55" s="1679">
        <f>'2.Ventas y Cobros (Ej 1º,2º)'!F$37*'2.Ventas y Cobros (Ej 1º,2º)'!$G41</f>
        <v>0</v>
      </c>
      <c r="G55" s="1679">
        <f>'2.Ventas y Cobros (Ej 1º,2º)'!G$37*'2.Ventas y Cobros (Ej 1º,2º)'!$G41</f>
        <v>0</v>
      </c>
      <c r="H55" s="1679">
        <f>'2.Ventas y Cobros (Ej 1º,2º)'!H$37*'2.Ventas y Cobros (Ej 1º,2º)'!$G41</f>
        <v>0</v>
      </c>
      <c r="I55" s="1679">
        <f>'2.Ventas y Cobros (Ej 1º,2º)'!I$37*'2.Ventas y Cobros (Ej 1º,2º)'!$G41</f>
        <v>0</v>
      </c>
      <c r="J55" s="1679">
        <f>'2.Ventas y Cobros (Ej 1º,2º)'!J$37*'2.Ventas y Cobros (Ej 1º,2º)'!$G41</f>
        <v>0</v>
      </c>
      <c r="K55" s="1679">
        <f>'2.Ventas y Cobros (Ej 1º,2º)'!K$37*'2.Ventas y Cobros (Ej 1º,2º)'!$G41</f>
        <v>0</v>
      </c>
      <c r="L55" s="1679">
        <f>'2.Ventas y Cobros (Ej 1º,2º)'!L$37*'2.Ventas y Cobros (Ej 1º,2º)'!$G41</f>
        <v>0</v>
      </c>
      <c r="M55" s="1679">
        <f>'2.Ventas y Cobros (Ej 1º,2º)'!M$37*'2.Ventas y Cobros (Ej 1º,2º)'!$G41</f>
        <v>0</v>
      </c>
      <c r="N55" s="1679">
        <f>'2.Ventas y Cobros (Ej 1º,2º)'!N$37*'2.Ventas y Cobros (Ej 1º,2º)'!$G41</f>
        <v>0</v>
      </c>
      <c r="O55" s="1680">
        <f>'2.Ventas y Cobros (Ej 1º,2º)'!O$37*'2.Ventas y Cobros (Ej 1º,2º)'!$G41</f>
        <v>0</v>
      </c>
      <c r="P55" s="1681">
        <f t="shared" ref="P55:P64" si="23">SUM(D55:O55)</f>
        <v>0</v>
      </c>
      <c r="Q55" s="1682"/>
      <c r="T55" s="1833"/>
      <c r="W55" s="1763">
        <f>'2.Ventas y Cobros (Ej 1º,2º)'!W$37*$Z41</f>
        <v>0</v>
      </c>
      <c r="X55" s="1683">
        <f>'2.Ventas y Cobros (Ej 1º,2º)'!X$37*$Z41</f>
        <v>0</v>
      </c>
      <c r="Y55" s="1683">
        <f>'2.Ventas y Cobros (Ej 1º,2º)'!Y$37*$Z41</f>
        <v>0</v>
      </c>
      <c r="Z55" s="1683">
        <f>'2.Ventas y Cobros (Ej 1º,2º)'!Z$37*$Z41</f>
        <v>0</v>
      </c>
      <c r="AA55" s="1683">
        <f>'2.Ventas y Cobros (Ej 1º,2º)'!AA$37*$Z41</f>
        <v>0</v>
      </c>
      <c r="AB55" s="1683">
        <f>'2.Ventas y Cobros (Ej 1º,2º)'!AB$37*$Z41</f>
        <v>0</v>
      </c>
      <c r="AC55" s="1683">
        <f>'2.Ventas y Cobros (Ej 1º,2º)'!AC$37*$Z41</f>
        <v>0</v>
      </c>
      <c r="AD55" s="1683">
        <f>'2.Ventas y Cobros (Ej 1º,2º)'!AD$37*$Z41</f>
        <v>0</v>
      </c>
      <c r="AE55" s="1683">
        <f>'2.Ventas y Cobros (Ej 1º,2º)'!AE$37*$Z41</f>
        <v>0</v>
      </c>
      <c r="AF55" s="1683">
        <f>'2.Ventas y Cobros (Ej 1º,2º)'!AF$37*$Z41</f>
        <v>0</v>
      </c>
      <c r="AG55" s="1683">
        <f>'2.Ventas y Cobros (Ej 1º,2º)'!AG$37*$Z41</f>
        <v>0</v>
      </c>
      <c r="AH55" s="1684">
        <f>'2.Ventas y Cobros (Ej 1º,2º)'!AH$37*$Z41</f>
        <v>0</v>
      </c>
      <c r="AI55" s="1681">
        <f t="shared" ref="AI55:AI64" si="24">SUM(W55:AH55)</f>
        <v>0</v>
      </c>
      <c r="AJ55" s="1682"/>
    </row>
    <row r="56" spans="1:37" s="1676" customFormat="1" ht="16.5" hidden="1">
      <c r="B56" s="1714"/>
      <c r="C56" s="1677" t="s">
        <v>56</v>
      </c>
      <c r="D56" s="1678"/>
      <c r="E56" s="1679">
        <f>'2.Ventas y Cobros (Ej 1º,2º)'!D$37*'2.Ventas y Cobros (Ej 1º,2º)'!$G42</f>
        <v>0</v>
      </c>
      <c r="F56" s="1679">
        <f>'2.Ventas y Cobros (Ej 1º,2º)'!E$37*'2.Ventas y Cobros (Ej 1º,2º)'!$G42</f>
        <v>0</v>
      </c>
      <c r="G56" s="1679">
        <f>'2.Ventas y Cobros (Ej 1º,2º)'!F$37*'2.Ventas y Cobros (Ej 1º,2º)'!$G42</f>
        <v>0</v>
      </c>
      <c r="H56" s="1679">
        <f>'2.Ventas y Cobros (Ej 1º,2º)'!G$37*'2.Ventas y Cobros (Ej 1º,2º)'!$G42</f>
        <v>0</v>
      </c>
      <c r="I56" s="1679">
        <f>'2.Ventas y Cobros (Ej 1º,2º)'!H$37*'2.Ventas y Cobros (Ej 1º,2º)'!$G42</f>
        <v>0</v>
      </c>
      <c r="J56" s="1679">
        <f>'2.Ventas y Cobros (Ej 1º,2º)'!I$37*'2.Ventas y Cobros (Ej 1º,2º)'!$G42</f>
        <v>0</v>
      </c>
      <c r="K56" s="1679">
        <f>'2.Ventas y Cobros (Ej 1º,2º)'!J$37*'2.Ventas y Cobros (Ej 1º,2º)'!$G42</f>
        <v>0</v>
      </c>
      <c r="L56" s="1679">
        <f>'2.Ventas y Cobros (Ej 1º,2º)'!K$37*'2.Ventas y Cobros (Ej 1º,2º)'!$G42</f>
        <v>0</v>
      </c>
      <c r="M56" s="1679">
        <f>'2.Ventas y Cobros (Ej 1º,2º)'!L$37*'2.Ventas y Cobros (Ej 1º,2º)'!$G42</f>
        <v>0</v>
      </c>
      <c r="N56" s="1679">
        <f>'2.Ventas y Cobros (Ej 1º,2º)'!M$37*'2.Ventas y Cobros (Ej 1º,2º)'!$G42</f>
        <v>0</v>
      </c>
      <c r="O56" s="1680">
        <f>'2.Ventas y Cobros (Ej 1º,2º)'!N$37*'2.Ventas y Cobros (Ej 1º,2º)'!$G42</f>
        <v>0</v>
      </c>
      <c r="P56" s="1681">
        <f t="shared" si="23"/>
        <v>0</v>
      </c>
      <c r="Q56" s="1685"/>
      <c r="T56" s="1833"/>
      <c r="W56" s="1764">
        <f>'2.Ventas y Cobros (Ej 1º,2º)'!O37*'2.Ventas y Cobros (Ej 1º,2º)'!G42</f>
        <v>0</v>
      </c>
      <c r="X56" s="1679">
        <f>'2.Ventas y Cobros (Ej 1º,2º)'!W$37*$Z42</f>
        <v>0</v>
      </c>
      <c r="Y56" s="1679">
        <f>'2.Ventas y Cobros (Ej 1º,2º)'!X$37*$Z42</f>
        <v>0</v>
      </c>
      <c r="Z56" s="1679">
        <f>'2.Ventas y Cobros (Ej 1º,2º)'!Y$37*$Z42</f>
        <v>0</v>
      </c>
      <c r="AA56" s="1679">
        <f>'2.Ventas y Cobros (Ej 1º,2º)'!Z$37*$Z42</f>
        <v>0</v>
      </c>
      <c r="AB56" s="1679">
        <f>'2.Ventas y Cobros (Ej 1º,2º)'!AA$37*$Z42</f>
        <v>0</v>
      </c>
      <c r="AC56" s="1679">
        <f>'2.Ventas y Cobros (Ej 1º,2º)'!AB$37*$Z42</f>
        <v>0</v>
      </c>
      <c r="AD56" s="1679">
        <f>'2.Ventas y Cobros (Ej 1º,2º)'!AC$37*$Z42</f>
        <v>0</v>
      </c>
      <c r="AE56" s="1679">
        <f>'2.Ventas y Cobros (Ej 1º,2º)'!AD$37*$Z42</f>
        <v>0</v>
      </c>
      <c r="AF56" s="1679">
        <f>'2.Ventas y Cobros (Ej 1º,2º)'!AE$37*$Z42</f>
        <v>0</v>
      </c>
      <c r="AG56" s="1679">
        <f>'2.Ventas y Cobros (Ej 1º,2º)'!AF$37*$Z42</f>
        <v>0</v>
      </c>
      <c r="AH56" s="1680">
        <f>'2.Ventas y Cobros (Ej 1º,2º)'!AG$37*$Z42</f>
        <v>0</v>
      </c>
      <c r="AI56" s="1681">
        <f t="shared" si="24"/>
        <v>0</v>
      </c>
      <c r="AJ56" s="1685"/>
    </row>
    <row r="57" spans="1:37" s="1676" customFormat="1" ht="16.5" hidden="1">
      <c r="B57" s="1714"/>
      <c r="C57" s="1686" t="s">
        <v>266</v>
      </c>
      <c r="D57" s="1678"/>
      <c r="E57" s="1679">
        <f>'2.Ventas y Cobros (Ej 1º,2º)'!D$37/2*'2.Ventas y Cobros (Ej 1º,2º)'!$G43</f>
        <v>0</v>
      </c>
      <c r="F57" s="1679">
        <f>('2.Ventas y Cobros (Ej 1º,2º)'!E$37/2+'2.Ventas y Cobros (Ej 1º,2º)'!D37/2)*'2.Ventas y Cobros (Ej 1º,2º)'!$G43</f>
        <v>0</v>
      </c>
      <c r="G57" s="1679">
        <f>('2.Ventas y Cobros (Ej 1º,2º)'!F$37/2+'2.Ventas y Cobros (Ej 1º,2º)'!E37/2)*'2.Ventas y Cobros (Ej 1º,2º)'!$G43</f>
        <v>0</v>
      </c>
      <c r="H57" s="1679">
        <f>('2.Ventas y Cobros (Ej 1º,2º)'!G$37/2+'2.Ventas y Cobros (Ej 1º,2º)'!F37/2)*'2.Ventas y Cobros (Ej 1º,2º)'!$G43</f>
        <v>0</v>
      </c>
      <c r="I57" s="1679">
        <f>('2.Ventas y Cobros (Ej 1º,2º)'!H$37/2+'2.Ventas y Cobros (Ej 1º,2º)'!G37/2)*'2.Ventas y Cobros (Ej 1º,2º)'!$G43</f>
        <v>0</v>
      </c>
      <c r="J57" s="1679">
        <f>('2.Ventas y Cobros (Ej 1º,2º)'!I$37/2+'2.Ventas y Cobros (Ej 1º,2º)'!H37/2)*'2.Ventas y Cobros (Ej 1º,2º)'!$G43</f>
        <v>0</v>
      </c>
      <c r="K57" s="1679">
        <f>('2.Ventas y Cobros (Ej 1º,2º)'!J$37/2+'2.Ventas y Cobros (Ej 1º,2º)'!I37/2)*'2.Ventas y Cobros (Ej 1º,2º)'!$G43</f>
        <v>0</v>
      </c>
      <c r="L57" s="1679">
        <f>('2.Ventas y Cobros (Ej 1º,2º)'!K$37/2+'2.Ventas y Cobros (Ej 1º,2º)'!J37/2)*'2.Ventas y Cobros (Ej 1º,2º)'!$G43</f>
        <v>0</v>
      </c>
      <c r="M57" s="1679">
        <f>('2.Ventas y Cobros (Ej 1º,2º)'!L$37/2+'2.Ventas y Cobros (Ej 1º,2º)'!K37/2)*'2.Ventas y Cobros (Ej 1º,2º)'!$G43</f>
        <v>0</v>
      </c>
      <c r="N57" s="1679">
        <f>('2.Ventas y Cobros (Ej 1º,2º)'!M$37/2+'2.Ventas y Cobros (Ej 1º,2º)'!L37/2)*'2.Ventas y Cobros (Ej 1º,2º)'!$G43</f>
        <v>0</v>
      </c>
      <c r="O57" s="1680">
        <f>('2.Ventas y Cobros (Ej 1º,2º)'!N$37/2+'2.Ventas y Cobros (Ej 1º,2º)'!M37/2)*'2.Ventas y Cobros (Ej 1º,2º)'!$G43</f>
        <v>0</v>
      </c>
      <c r="P57" s="1681">
        <f t="shared" si="23"/>
        <v>0</v>
      </c>
      <c r="Q57" s="1687"/>
      <c r="T57" s="1833"/>
      <c r="W57" s="1764">
        <f>('2.Ventas y Cobros (Ej 1º,2º)'!N$37/2+'2.Ventas y Cobros (Ej 1º,2º)'!O37/2)*'2.Ventas y Cobros (Ej 1º,2º)'!$G43</f>
        <v>0</v>
      </c>
      <c r="X57" s="1688">
        <f>('2.Ventas y Cobros (Ej 1º,2º)'!W$37/2)*$Z43+('2.Ventas y Cobros (Ej 1º,2º)'!O37/2)*'2.Ventas y Cobros (Ej 1º,2º)'!G43</f>
        <v>0</v>
      </c>
      <c r="Y57" s="1679">
        <f>('2.Ventas y Cobros (Ej 1º,2º)'!X$37/2+'2.Ventas y Cobros (Ej 1º,2º)'!W37/2)*$Z43</f>
        <v>0</v>
      </c>
      <c r="Z57" s="1679">
        <f>('2.Ventas y Cobros (Ej 1º,2º)'!Y$37/2+'2.Ventas y Cobros (Ej 1º,2º)'!X37/2)*$Z43</f>
        <v>0</v>
      </c>
      <c r="AA57" s="1679">
        <f>('2.Ventas y Cobros (Ej 1º,2º)'!Z$37/2+'2.Ventas y Cobros (Ej 1º,2º)'!Y37/2)*$Z43</f>
        <v>0</v>
      </c>
      <c r="AB57" s="1679">
        <f>('2.Ventas y Cobros (Ej 1º,2º)'!AA$37/2+'2.Ventas y Cobros (Ej 1º,2º)'!Z37/2)*$Z43</f>
        <v>0</v>
      </c>
      <c r="AC57" s="1679">
        <f>('2.Ventas y Cobros (Ej 1º,2º)'!AB$37/2+'2.Ventas y Cobros (Ej 1º,2º)'!AA37/2)*$Z43</f>
        <v>0</v>
      </c>
      <c r="AD57" s="1679">
        <f>('2.Ventas y Cobros (Ej 1º,2º)'!AC$37/2+'2.Ventas y Cobros (Ej 1º,2º)'!AB37/2)*$Z43</f>
        <v>0</v>
      </c>
      <c r="AE57" s="1679">
        <f>('2.Ventas y Cobros (Ej 1º,2º)'!AD$37/2+'2.Ventas y Cobros (Ej 1º,2º)'!AC37/2)*$Z43</f>
        <v>0</v>
      </c>
      <c r="AF57" s="1679">
        <f>('2.Ventas y Cobros (Ej 1º,2º)'!AE$37/2+'2.Ventas y Cobros (Ej 1º,2º)'!AD37/2)*$Z43</f>
        <v>0</v>
      </c>
      <c r="AG57" s="1679">
        <f>('2.Ventas y Cobros (Ej 1º,2º)'!AF$37/2+'2.Ventas y Cobros (Ej 1º,2º)'!AE37/2)*$Z43</f>
        <v>0</v>
      </c>
      <c r="AH57" s="1680">
        <f>('2.Ventas y Cobros (Ej 1º,2º)'!AG$37/2+'2.Ventas y Cobros (Ej 1º,2º)'!AF37/2)*$Z43</f>
        <v>0</v>
      </c>
      <c r="AI57" s="1681">
        <f t="shared" si="24"/>
        <v>0</v>
      </c>
      <c r="AJ57" s="1687"/>
    </row>
    <row r="58" spans="1:37" s="1676" customFormat="1" ht="16.5" hidden="1">
      <c r="B58" s="1714"/>
      <c r="C58" s="1677" t="s">
        <v>57</v>
      </c>
      <c r="D58" s="1678"/>
      <c r="E58" s="1679"/>
      <c r="F58" s="1679">
        <f>'2.Ventas y Cobros (Ej 1º,2º)'!D$37*'2.Ventas y Cobros (Ej 1º,2º)'!$G44</f>
        <v>0</v>
      </c>
      <c r="G58" s="1679">
        <f>'2.Ventas y Cobros (Ej 1º,2º)'!E$37*'2.Ventas y Cobros (Ej 1º,2º)'!$G44</f>
        <v>0</v>
      </c>
      <c r="H58" s="1679">
        <f>'2.Ventas y Cobros (Ej 1º,2º)'!F$37*'2.Ventas y Cobros (Ej 1º,2º)'!$G44</f>
        <v>0</v>
      </c>
      <c r="I58" s="1679">
        <f>'2.Ventas y Cobros (Ej 1º,2º)'!G$37*'2.Ventas y Cobros (Ej 1º,2º)'!$G44</f>
        <v>0</v>
      </c>
      <c r="J58" s="1679">
        <f>'2.Ventas y Cobros (Ej 1º,2º)'!H$37*'2.Ventas y Cobros (Ej 1º,2º)'!$G44</f>
        <v>0</v>
      </c>
      <c r="K58" s="1679">
        <f>'2.Ventas y Cobros (Ej 1º,2º)'!I$37*'2.Ventas y Cobros (Ej 1º,2º)'!$G44</f>
        <v>0</v>
      </c>
      <c r="L58" s="1679">
        <f>'2.Ventas y Cobros (Ej 1º,2º)'!J$37*'2.Ventas y Cobros (Ej 1º,2º)'!$G44</f>
        <v>0</v>
      </c>
      <c r="M58" s="1679">
        <f>'2.Ventas y Cobros (Ej 1º,2º)'!K$37*'2.Ventas y Cobros (Ej 1º,2º)'!$G44</f>
        <v>0</v>
      </c>
      <c r="N58" s="1679">
        <f>'2.Ventas y Cobros (Ej 1º,2º)'!L$37*'2.Ventas y Cobros (Ej 1º,2º)'!$G44</f>
        <v>0</v>
      </c>
      <c r="O58" s="1680">
        <f>'2.Ventas y Cobros (Ej 1º,2º)'!M$37*'2.Ventas y Cobros (Ej 1º,2º)'!$G44</f>
        <v>0</v>
      </c>
      <c r="P58" s="1681">
        <f t="shared" si="23"/>
        <v>0</v>
      </c>
      <c r="Q58" s="1682"/>
      <c r="T58" s="1833"/>
      <c r="W58" s="1764">
        <f>'2.Ventas y Cobros (Ej 1º,2º)'!N37*'2.Ventas y Cobros (Ej 1º,2º)'!G44</f>
        <v>0</v>
      </c>
      <c r="X58" s="1679">
        <f>'2.Ventas y Cobros (Ej 1º,2º)'!O37*'2.Ventas y Cobros (Ej 1º,2º)'!G44</f>
        <v>0</v>
      </c>
      <c r="Y58" s="1688">
        <f>'2.Ventas y Cobros (Ej 1º,2º)'!W$37*$Z44</f>
        <v>0</v>
      </c>
      <c r="Z58" s="1679">
        <f>'2.Ventas y Cobros (Ej 1º,2º)'!X$37*$Z44</f>
        <v>0</v>
      </c>
      <c r="AA58" s="1679">
        <f>'2.Ventas y Cobros (Ej 1º,2º)'!Y$37*$Z44</f>
        <v>0</v>
      </c>
      <c r="AB58" s="1679">
        <f>'2.Ventas y Cobros (Ej 1º,2º)'!Z$37*$Z44</f>
        <v>0</v>
      </c>
      <c r="AC58" s="1679">
        <f>'2.Ventas y Cobros (Ej 1º,2º)'!AA$37*$Z44</f>
        <v>0</v>
      </c>
      <c r="AD58" s="1679">
        <f>'2.Ventas y Cobros (Ej 1º,2º)'!AB$37*$Z44</f>
        <v>0</v>
      </c>
      <c r="AE58" s="1679">
        <f>'2.Ventas y Cobros (Ej 1º,2º)'!AC$37*$Z44</f>
        <v>0</v>
      </c>
      <c r="AF58" s="1679">
        <f>'2.Ventas y Cobros (Ej 1º,2º)'!AD$37*$Z44</f>
        <v>0</v>
      </c>
      <c r="AG58" s="1679">
        <f>'2.Ventas y Cobros (Ej 1º,2º)'!AE$37*$Z44</f>
        <v>0</v>
      </c>
      <c r="AH58" s="1680">
        <f>'2.Ventas y Cobros (Ej 1º,2º)'!AF$37*$Z44</f>
        <v>0</v>
      </c>
      <c r="AI58" s="1681">
        <f t="shared" si="24"/>
        <v>0</v>
      </c>
      <c r="AJ58" s="1682"/>
    </row>
    <row r="59" spans="1:37" s="1676" customFormat="1" ht="16.5" hidden="1">
      <c r="B59" s="1715"/>
      <c r="C59" s="1677" t="s">
        <v>58</v>
      </c>
      <c r="D59" s="1678"/>
      <c r="E59" s="1679"/>
      <c r="F59" s="1679"/>
      <c r="G59" s="1679">
        <f>'2.Ventas y Cobros (Ej 1º,2º)'!D$37*'2.Ventas y Cobros (Ej 1º,2º)'!$G45</f>
        <v>0</v>
      </c>
      <c r="H59" s="1679">
        <f>'2.Ventas y Cobros (Ej 1º,2º)'!E$37*'2.Ventas y Cobros (Ej 1º,2º)'!$G45</f>
        <v>0</v>
      </c>
      <c r="I59" s="1679">
        <f>'2.Ventas y Cobros (Ej 1º,2º)'!F$37*'2.Ventas y Cobros (Ej 1º,2º)'!$G45</f>
        <v>0</v>
      </c>
      <c r="J59" s="1679">
        <f>'2.Ventas y Cobros (Ej 1º,2º)'!G$37*'2.Ventas y Cobros (Ej 1º,2º)'!$G45</f>
        <v>0</v>
      </c>
      <c r="K59" s="1679">
        <f>'2.Ventas y Cobros (Ej 1º,2º)'!H$37*'2.Ventas y Cobros (Ej 1º,2º)'!$G45</f>
        <v>0</v>
      </c>
      <c r="L59" s="1679">
        <f>'2.Ventas y Cobros (Ej 1º,2º)'!I$37*'2.Ventas y Cobros (Ej 1º,2º)'!$G45</f>
        <v>0</v>
      </c>
      <c r="M59" s="1679">
        <f>'2.Ventas y Cobros (Ej 1º,2º)'!J$37*'2.Ventas y Cobros (Ej 1º,2º)'!$G45</f>
        <v>0</v>
      </c>
      <c r="N59" s="1679">
        <f>'2.Ventas y Cobros (Ej 1º,2º)'!K$37*'2.Ventas y Cobros (Ej 1º,2º)'!$G45</f>
        <v>0</v>
      </c>
      <c r="O59" s="1680">
        <f>'2.Ventas y Cobros (Ej 1º,2º)'!L$37*'2.Ventas y Cobros (Ej 1º,2º)'!$G45</f>
        <v>0</v>
      </c>
      <c r="P59" s="1681">
        <f t="shared" si="23"/>
        <v>0</v>
      </c>
      <c r="Q59" s="1682"/>
      <c r="T59" s="1833"/>
      <c r="W59" s="1764">
        <f>'2.Ventas y Cobros (Ej 1º,2º)'!G45*'2.Ventas y Cobros (Ej 1º,2º)'!M37</f>
        <v>0</v>
      </c>
      <c r="X59" s="1679">
        <f>'2.Ventas y Cobros (Ej 1º,2º)'!N37*'2.Ventas y Cobros (Ej 1º,2º)'!G45</f>
        <v>0</v>
      </c>
      <c r="Y59" s="1679">
        <f>'2.Ventas y Cobros (Ej 1º,2º)'!O37*'2.Ventas y Cobros (Ej 1º,2º)'!G45</f>
        <v>0</v>
      </c>
      <c r="Z59" s="1679">
        <f>'2.Ventas y Cobros (Ej 1º,2º)'!W$37*$Z45</f>
        <v>0</v>
      </c>
      <c r="AA59" s="1679">
        <f>'2.Ventas y Cobros (Ej 1º,2º)'!X$37*$Z45</f>
        <v>0</v>
      </c>
      <c r="AB59" s="1679">
        <f>'2.Ventas y Cobros (Ej 1º,2º)'!Y$37*$Z45</f>
        <v>0</v>
      </c>
      <c r="AC59" s="1679">
        <f>'2.Ventas y Cobros (Ej 1º,2º)'!Z$37*$Z45</f>
        <v>0</v>
      </c>
      <c r="AD59" s="1679">
        <f>'2.Ventas y Cobros (Ej 1º,2º)'!AA$37*$Z45</f>
        <v>0</v>
      </c>
      <c r="AE59" s="1679">
        <f>'2.Ventas y Cobros (Ej 1º,2º)'!AB$37*$Z45</f>
        <v>0</v>
      </c>
      <c r="AF59" s="1679">
        <f>'2.Ventas y Cobros (Ej 1º,2º)'!AC$37*$Z45</f>
        <v>0</v>
      </c>
      <c r="AG59" s="1679">
        <f>'2.Ventas y Cobros (Ej 1º,2º)'!AD$37*$Z45</f>
        <v>0</v>
      </c>
      <c r="AH59" s="1680">
        <f>'2.Ventas y Cobros (Ej 1º,2º)'!AE$37*$Z45</f>
        <v>0</v>
      </c>
      <c r="AI59" s="1681">
        <f t="shared" si="24"/>
        <v>0</v>
      </c>
      <c r="AJ59" s="1682"/>
    </row>
    <row r="60" spans="1:37" s="1676" customFormat="1" ht="16.5" hidden="1">
      <c r="B60" s="1715"/>
      <c r="C60" s="1677" t="s">
        <v>59</v>
      </c>
      <c r="D60" s="1678"/>
      <c r="E60" s="1679"/>
      <c r="F60" s="1679"/>
      <c r="G60" s="1679"/>
      <c r="H60" s="1679">
        <f>'2.Ventas y Cobros (Ej 1º,2º)'!D$37*'2.Ventas y Cobros (Ej 1º,2º)'!$G46</f>
        <v>0</v>
      </c>
      <c r="I60" s="1679">
        <f>'2.Ventas y Cobros (Ej 1º,2º)'!E$37*'2.Ventas y Cobros (Ej 1º,2º)'!$G46</f>
        <v>0</v>
      </c>
      <c r="J60" s="1679">
        <f>'2.Ventas y Cobros (Ej 1º,2º)'!F$37*'2.Ventas y Cobros (Ej 1º,2º)'!$G46</f>
        <v>0</v>
      </c>
      <c r="K60" s="1679">
        <f>'2.Ventas y Cobros (Ej 1º,2º)'!G$37*'2.Ventas y Cobros (Ej 1º,2º)'!$G46</f>
        <v>0</v>
      </c>
      <c r="L60" s="1679">
        <f>'2.Ventas y Cobros (Ej 1º,2º)'!H$37*'2.Ventas y Cobros (Ej 1º,2º)'!$G46</f>
        <v>0</v>
      </c>
      <c r="M60" s="1679">
        <f>'2.Ventas y Cobros (Ej 1º,2º)'!I$37*'2.Ventas y Cobros (Ej 1º,2º)'!$G46</f>
        <v>0</v>
      </c>
      <c r="N60" s="1679">
        <f>'2.Ventas y Cobros (Ej 1º,2º)'!J$37*'2.Ventas y Cobros (Ej 1º,2º)'!$G46</f>
        <v>0</v>
      </c>
      <c r="O60" s="1680">
        <f>'2.Ventas y Cobros (Ej 1º,2º)'!K$37*'2.Ventas y Cobros (Ej 1º,2º)'!$G46</f>
        <v>0</v>
      </c>
      <c r="P60" s="1681">
        <f t="shared" si="23"/>
        <v>0</v>
      </c>
      <c r="Q60" s="1682"/>
      <c r="T60" s="1833"/>
      <c r="W60" s="1764">
        <f>'2.Ventas y Cobros (Ej 1º,2º)'!G46*'2.Ventas y Cobros (Ej 1º,2º)'!L37</f>
        <v>0</v>
      </c>
      <c r="X60" s="1679">
        <f>'2.Ventas y Cobros (Ej 1º,2º)'!G46*'2.Ventas y Cobros (Ej 1º,2º)'!M37</f>
        <v>0</v>
      </c>
      <c r="Y60" s="1679">
        <f>'2.Ventas y Cobros (Ej 1º,2º)'!N37*'2.Ventas y Cobros (Ej 1º,2º)'!G46</f>
        <v>0</v>
      </c>
      <c r="Z60" s="1679">
        <f>'2.Ventas y Cobros (Ej 1º,2º)'!O37*'2.Ventas y Cobros (Ej 1º,2º)'!G46</f>
        <v>0</v>
      </c>
      <c r="AA60" s="1679">
        <f>'2.Ventas y Cobros (Ej 1º,2º)'!W$37*$Z46</f>
        <v>0</v>
      </c>
      <c r="AB60" s="1679">
        <f>'2.Ventas y Cobros (Ej 1º,2º)'!X$37*$Z46</f>
        <v>0</v>
      </c>
      <c r="AC60" s="1679">
        <f>'2.Ventas y Cobros (Ej 1º,2º)'!Y$37*$Z46</f>
        <v>0</v>
      </c>
      <c r="AD60" s="1679">
        <f>'2.Ventas y Cobros (Ej 1º,2º)'!Z$37*$Z46</f>
        <v>0</v>
      </c>
      <c r="AE60" s="1679">
        <f>'2.Ventas y Cobros (Ej 1º,2º)'!AA$37*$Z46</f>
        <v>0</v>
      </c>
      <c r="AF60" s="1679">
        <f>'2.Ventas y Cobros (Ej 1º,2º)'!AB$37*$Z46</f>
        <v>0</v>
      </c>
      <c r="AG60" s="1679">
        <f>'2.Ventas y Cobros (Ej 1º,2º)'!AC$37*$Z46</f>
        <v>0</v>
      </c>
      <c r="AH60" s="1680">
        <f>'2.Ventas y Cobros (Ej 1º,2º)'!AD$37*$Z46</f>
        <v>0</v>
      </c>
      <c r="AI60" s="1681">
        <f t="shared" si="24"/>
        <v>0</v>
      </c>
      <c r="AJ60" s="1682"/>
    </row>
    <row r="61" spans="1:37" s="1676" customFormat="1" ht="16.5" hidden="1">
      <c r="B61" s="1715"/>
      <c r="C61" s="1677" t="s">
        <v>60</v>
      </c>
      <c r="D61" s="1678"/>
      <c r="E61" s="1679"/>
      <c r="F61" s="1679"/>
      <c r="G61" s="1679"/>
      <c r="H61" s="1679"/>
      <c r="I61" s="1679">
        <f>'2.Ventas y Cobros (Ej 1º,2º)'!D$37*'2.Ventas y Cobros (Ej 1º,2º)'!$G47</f>
        <v>0</v>
      </c>
      <c r="J61" s="1679">
        <f>'2.Ventas y Cobros (Ej 1º,2º)'!E$37*'2.Ventas y Cobros (Ej 1º,2º)'!$G47</f>
        <v>0</v>
      </c>
      <c r="K61" s="1679">
        <f>'2.Ventas y Cobros (Ej 1º,2º)'!F$37*'2.Ventas y Cobros (Ej 1º,2º)'!$G47</f>
        <v>0</v>
      </c>
      <c r="L61" s="1679">
        <f>'2.Ventas y Cobros (Ej 1º,2º)'!G$37*'2.Ventas y Cobros (Ej 1º,2º)'!$G47</f>
        <v>0</v>
      </c>
      <c r="M61" s="1679">
        <f>'2.Ventas y Cobros (Ej 1º,2º)'!H$37*'2.Ventas y Cobros (Ej 1º,2º)'!$G47</f>
        <v>0</v>
      </c>
      <c r="N61" s="1679">
        <f>'2.Ventas y Cobros (Ej 1º,2º)'!I$37*'2.Ventas y Cobros (Ej 1º,2º)'!$G47</f>
        <v>0</v>
      </c>
      <c r="O61" s="1680">
        <f>'2.Ventas y Cobros (Ej 1º,2º)'!J$37*'2.Ventas y Cobros (Ej 1º,2º)'!$G47</f>
        <v>0</v>
      </c>
      <c r="P61" s="1681">
        <f t="shared" si="23"/>
        <v>0</v>
      </c>
      <c r="Q61" s="1682"/>
      <c r="T61" s="1833"/>
      <c r="W61" s="1764">
        <f>'2.Ventas y Cobros (Ej 1º,2º)'!K37*'2.Ventas y Cobros (Ej 1º,2º)'!G47</f>
        <v>0</v>
      </c>
      <c r="X61" s="1679">
        <f>'2.Ventas y Cobros (Ej 1º,2º)'!G47*'2.Ventas y Cobros (Ej 1º,2º)'!L37</f>
        <v>0</v>
      </c>
      <c r="Y61" s="1679">
        <f>'2.Ventas y Cobros (Ej 1º,2º)'!G47*'2.Ventas y Cobros (Ej 1º,2º)'!M37</f>
        <v>0</v>
      </c>
      <c r="Z61" s="1679">
        <f>'2.Ventas y Cobros (Ej 1º,2º)'!N37*'2.Ventas y Cobros (Ej 1º,2º)'!G47</f>
        <v>0</v>
      </c>
      <c r="AA61" s="1679">
        <f>'2.Ventas y Cobros (Ej 1º,2º)'!O37*'2.Ventas y Cobros (Ej 1º,2º)'!G47</f>
        <v>0</v>
      </c>
      <c r="AB61" s="1679">
        <f>'2.Ventas y Cobros (Ej 1º,2º)'!W$37*$Z47</f>
        <v>0</v>
      </c>
      <c r="AC61" s="1679">
        <f>'2.Ventas y Cobros (Ej 1º,2º)'!X$37*$Z47</f>
        <v>0</v>
      </c>
      <c r="AD61" s="1679">
        <f>'2.Ventas y Cobros (Ej 1º,2º)'!Y$37*$Z47</f>
        <v>0</v>
      </c>
      <c r="AE61" s="1679">
        <f>'2.Ventas y Cobros (Ej 1º,2º)'!Z$37*$Z47</f>
        <v>0</v>
      </c>
      <c r="AF61" s="1679">
        <f>'2.Ventas y Cobros (Ej 1º,2º)'!AA$37*$Z47</f>
        <v>0</v>
      </c>
      <c r="AG61" s="1679">
        <f>'2.Ventas y Cobros (Ej 1º,2º)'!AB$37*$Z47</f>
        <v>0</v>
      </c>
      <c r="AH61" s="1680">
        <f>'2.Ventas y Cobros (Ej 1º,2º)'!AC$37*$Z47</f>
        <v>0</v>
      </c>
      <c r="AI61" s="1681">
        <f t="shared" si="24"/>
        <v>0</v>
      </c>
      <c r="AJ61" s="1682"/>
    </row>
    <row r="62" spans="1:37" s="1676" customFormat="1" ht="16.5" hidden="1">
      <c r="B62" s="1715"/>
      <c r="C62" s="1677" t="s">
        <v>61</v>
      </c>
      <c r="D62" s="1689"/>
      <c r="E62" s="1690"/>
      <c r="F62" s="1690"/>
      <c r="G62" s="1690"/>
      <c r="H62" s="1690"/>
      <c r="I62" s="1690"/>
      <c r="J62" s="1690">
        <f>'2.Ventas y Cobros (Ej 1º,2º)'!D$37*'2.Ventas y Cobros (Ej 1º,2º)'!$G48</f>
        <v>0</v>
      </c>
      <c r="K62" s="1690">
        <f>'2.Ventas y Cobros (Ej 1º,2º)'!E$37*'2.Ventas y Cobros (Ej 1º,2º)'!$G48</f>
        <v>0</v>
      </c>
      <c r="L62" s="1690">
        <f>'2.Ventas y Cobros (Ej 1º,2º)'!F$37*'2.Ventas y Cobros (Ej 1º,2º)'!$G48</f>
        <v>0</v>
      </c>
      <c r="M62" s="1690">
        <f>'2.Ventas y Cobros (Ej 1º,2º)'!G$37*'2.Ventas y Cobros (Ej 1º,2º)'!$G48</f>
        <v>0</v>
      </c>
      <c r="N62" s="1690">
        <f>'2.Ventas y Cobros (Ej 1º,2º)'!H$37*'2.Ventas y Cobros (Ej 1º,2º)'!$G48</f>
        <v>0</v>
      </c>
      <c r="O62" s="1691">
        <f>'2.Ventas y Cobros (Ej 1º,2º)'!I$37*'2.Ventas y Cobros (Ej 1º,2º)'!$G48</f>
        <v>0</v>
      </c>
      <c r="P62" s="1692">
        <f t="shared" si="23"/>
        <v>0</v>
      </c>
      <c r="Q62" s="1693"/>
      <c r="T62" s="1833"/>
      <c r="W62" s="1765">
        <f>'2.Ventas y Cobros (Ej 1º,2º)'!J37*'2.Ventas y Cobros (Ej 1º,2º)'!G48</f>
        <v>0</v>
      </c>
      <c r="X62" s="1690">
        <f>'2.Ventas y Cobros (Ej 1º,2º)'!K37*'2.Ventas y Cobros (Ej 1º,2º)'!G48</f>
        <v>0</v>
      </c>
      <c r="Y62" s="1690">
        <f>'2.Ventas y Cobros (Ej 1º,2º)'!G48*'2.Ventas y Cobros (Ej 1º,2º)'!L37</f>
        <v>0</v>
      </c>
      <c r="Z62" s="1690">
        <f>'2.Ventas y Cobros (Ej 1º,2º)'!G48*'2.Ventas y Cobros (Ej 1º,2º)'!M37</f>
        <v>0</v>
      </c>
      <c r="AA62" s="1690">
        <f>'2.Ventas y Cobros (Ej 1º,2º)'!N37*'2.Ventas y Cobros (Ej 1º,2º)'!G48</f>
        <v>0</v>
      </c>
      <c r="AB62" s="1690">
        <f>'2.Ventas y Cobros (Ej 1º,2º)'!O37*'2.Ventas y Cobros (Ej 1º,2º)'!G48</f>
        <v>0</v>
      </c>
      <c r="AC62" s="1690">
        <f>'2.Ventas y Cobros (Ej 1º,2º)'!W$37*$Z48</f>
        <v>0</v>
      </c>
      <c r="AD62" s="1690">
        <f>'2.Ventas y Cobros (Ej 1º,2º)'!X$37*$Z48</f>
        <v>0</v>
      </c>
      <c r="AE62" s="1690">
        <f>'2.Ventas y Cobros (Ej 1º,2º)'!Y$37*$Z48</f>
        <v>0</v>
      </c>
      <c r="AF62" s="1690">
        <f>'2.Ventas y Cobros (Ej 1º,2º)'!Z$37*$Z48</f>
        <v>0</v>
      </c>
      <c r="AG62" s="1690">
        <f>'2.Ventas y Cobros (Ej 1º,2º)'!AA$37*$Z48</f>
        <v>0</v>
      </c>
      <c r="AH62" s="1691">
        <f>'2.Ventas y Cobros (Ej 1º,2º)'!AB$37*$Z48</f>
        <v>0</v>
      </c>
      <c r="AI62" s="1692">
        <f t="shared" si="24"/>
        <v>0</v>
      </c>
      <c r="AJ62" s="1693"/>
    </row>
    <row r="63" spans="1:37" s="1676" customFormat="1" ht="16.5" hidden="1">
      <c r="B63" s="1715"/>
      <c r="C63" s="1686" t="s">
        <v>267</v>
      </c>
      <c r="D63" s="1678"/>
      <c r="E63" s="1688"/>
      <c r="F63" s="1688"/>
      <c r="G63" s="1688"/>
      <c r="H63" s="1688"/>
      <c r="I63" s="1688"/>
      <c r="J63" s="1688"/>
      <c r="K63" s="1679">
        <f>'2.Ventas y Cobros (Ej 1º,2º)'!D$37*'2.Ventas y Cobros (Ej 1º,2º)'!$G49</f>
        <v>0</v>
      </c>
      <c r="L63" s="1679">
        <f>'2.Ventas y Cobros (Ej 1º,2º)'!E$37*'2.Ventas y Cobros (Ej 1º,2º)'!$G49</f>
        <v>0</v>
      </c>
      <c r="M63" s="1679">
        <f>'2.Ventas y Cobros (Ej 1º,2º)'!F$37*'2.Ventas y Cobros (Ej 1º,2º)'!$G49</f>
        <v>0</v>
      </c>
      <c r="N63" s="1679">
        <f>'2.Ventas y Cobros (Ej 1º,2º)'!G$37*'2.Ventas y Cobros (Ej 1º,2º)'!$G49</f>
        <v>0</v>
      </c>
      <c r="O63" s="1680">
        <f>'2.Ventas y Cobros (Ej 1º,2º)'!H$37*'2.Ventas y Cobros (Ej 1º,2º)'!$G49</f>
        <v>0</v>
      </c>
      <c r="P63" s="1694">
        <f t="shared" si="23"/>
        <v>0</v>
      </c>
      <c r="T63" s="1833"/>
      <c r="W63" s="1764">
        <f>'2.Ventas y Cobros (Ej 1º,2º)'!G49*'2.Ventas y Cobros (Ej 1º,2º)'!I37</f>
        <v>0</v>
      </c>
      <c r="X63" s="1688">
        <f>'2.Ventas y Cobros (Ej 1º,2º)'!J37*'2.Ventas y Cobros (Ej 1º,2º)'!G49</f>
        <v>0</v>
      </c>
      <c r="Y63" s="1688">
        <f>'2.Ventas y Cobros (Ej 1º,2º)'!K37*'2.Ventas y Cobros (Ej 1º,2º)'!G49</f>
        <v>0</v>
      </c>
      <c r="Z63" s="1688">
        <f>'2.Ventas y Cobros (Ej 1º,2º)'!G49*'2.Ventas y Cobros (Ej 1º,2º)'!L37</f>
        <v>0</v>
      </c>
      <c r="AA63" s="1688">
        <f>'2.Ventas y Cobros (Ej 1º,2º)'!G49*'2.Ventas y Cobros (Ej 1º,2º)'!M37</f>
        <v>0</v>
      </c>
      <c r="AB63" s="1688">
        <f>'2.Ventas y Cobros (Ej 1º,2º)'!N37*'2.Ventas y Cobros (Ej 1º,2º)'!G49</f>
        <v>0</v>
      </c>
      <c r="AC63" s="1688">
        <f>'2.Ventas y Cobros (Ej 1º,2º)'!O37*'2.Ventas y Cobros (Ej 1º,2º)'!G49</f>
        <v>0</v>
      </c>
      <c r="AD63" s="1679">
        <f>'2.Ventas y Cobros (Ej 1º,2º)'!W$37*$Z49</f>
        <v>0</v>
      </c>
      <c r="AE63" s="1679">
        <f>'2.Ventas y Cobros (Ej 1º,2º)'!X$37*$Z49</f>
        <v>0</v>
      </c>
      <c r="AF63" s="1679">
        <f>'2.Ventas y Cobros (Ej 1º,2º)'!Y$37*$Z49</f>
        <v>0</v>
      </c>
      <c r="AG63" s="1679">
        <f>'2.Ventas y Cobros (Ej 1º,2º)'!Z$37*$Z49</f>
        <v>0</v>
      </c>
      <c r="AH63" s="1680">
        <f>'2.Ventas y Cobros (Ej 1º,2º)'!AA$37*$Z49</f>
        <v>0</v>
      </c>
      <c r="AI63" s="1694">
        <f t="shared" si="24"/>
        <v>0</v>
      </c>
    </row>
    <row r="64" spans="1:37" s="1676" customFormat="1" ht="17.25" hidden="1" thickBot="1">
      <c r="B64" s="1715"/>
      <c r="C64" s="1686" t="s">
        <v>268</v>
      </c>
      <c r="D64" s="1695"/>
      <c r="E64" s="1696"/>
      <c r="F64" s="1696"/>
      <c r="G64" s="1696"/>
      <c r="H64" s="1696"/>
      <c r="I64" s="1696"/>
      <c r="J64" s="1696"/>
      <c r="K64" s="1696"/>
      <c r="L64" s="1697">
        <f>'2.Ventas y Cobros (Ej 1º,2º)'!D$37*'2.Ventas y Cobros (Ej 1º,2º)'!$G50</f>
        <v>0</v>
      </c>
      <c r="M64" s="1697">
        <f>'2.Ventas y Cobros (Ej 1º,2º)'!E$37*'2.Ventas y Cobros (Ej 1º,2º)'!$G50</f>
        <v>0</v>
      </c>
      <c r="N64" s="1697">
        <f>'2.Ventas y Cobros (Ej 1º,2º)'!F$37*'2.Ventas y Cobros (Ej 1º,2º)'!$G50</f>
        <v>0</v>
      </c>
      <c r="O64" s="1698">
        <f>'2.Ventas y Cobros (Ej 1º,2º)'!G$37*'2.Ventas y Cobros (Ej 1º,2º)'!$G50</f>
        <v>0</v>
      </c>
      <c r="P64" s="1692">
        <f t="shared" si="23"/>
        <v>0</v>
      </c>
      <c r="Q64" s="3422" t="s">
        <v>414</v>
      </c>
      <c r="R64" s="3423"/>
      <c r="T64" s="1833"/>
      <c r="W64" s="1766">
        <f>'2.Ventas y Cobros (Ej 1º,2º)'!H$37*'2.Ventas y Cobros (Ej 1º,2º)'!$G50</f>
        <v>0</v>
      </c>
      <c r="X64" s="1697">
        <f>'2.Ventas y Cobros (Ej 1º,2º)'!I$37*'2.Ventas y Cobros (Ej 1º,2º)'!$G50</f>
        <v>0</v>
      </c>
      <c r="Y64" s="1697">
        <f>'2.Ventas y Cobros (Ej 1º,2º)'!J$37*'2.Ventas y Cobros (Ej 1º,2º)'!$G50</f>
        <v>0</v>
      </c>
      <c r="Z64" s="1697">
        <f>'2.Ventas y Cobros (Ej 1º,2º)'!K$37*'2.Ventas y Cobros (Ej 1º,2º)'!$G50</f>
        <v>0</v>
      </c>
      <c r="AA64" s="1697">
        <f>'2.Ventas y Cobros (Ej 1º,2º)'!L$37*'2.Ventas y Cobros (Ej 1º,2º)'!$G50</f>
        <v>0</v>
      </c>
      <c r="AB64" s="1697">
        <f>'2.Ventas y Cobros (Ej 1º,2º)'!M$37*'2.Ventas y Cobros (Ej 1º,2º)'!$G50</f>
        <v>0</v>
      </c>
      <c r="AC64" s="1697">
        <f>'2.Ventas y Cobros (Ej 1º,2º)'!N$37*'2.Ventas y Cobros (Ej 1º,2º)'!$G50</f>
        <v>0</v>
      </c>
      <c r="AD64" s="1697">
        <f>'2.Ventas y Cobros (Ej 1º,2º)'!O$37*'2.Ventas y Cobros (Ej 1º,2º)'!$G50</f>
        <v>0</v>
      </c>
      <c r="AE64" s="1697">
        <f>'2.Ventas y Cobros (Ej 1º,2º)'!W$37*$Z50</f>
        <v>0</v>
      </c>
      <c r="AF64" s="1697">
        <f>'2.Ventas y Cobros (Ej 1º,2º)'!X$37*$Z50</f>
        <v>0</v>
      </c>
      <c r="AG64" s="1697">
        <f>'2.Ventas y Cobros (Ej 1º,2º)'!Y$37*$Z50</f>
        <v>0</v>
      </c>
      <c r="AH64" s="1698">
        <f>'2.Ventas y Cobros (Ej 1º,2º)'!Z$37*$Z50</f>
        <v>0</v>
      </c>
      <c r="AI64" s="1692">
        <f t="shared" si="24"/>
        <v>0</v>
      </c>
      <c r="AJ64" s="3411" t="s">
        <v>414</v>
      </c>
      <c r="AK64" s="3412"/>
    </row>
    <row r="65" spans="1:37" s="2000" customFormat="1" ht="25.5" customHeight="1" thickTop="1" thickBot="1">
      <c r="A65" s="3362" t="s">
        <v>642</v>
      </c>
      <c r="B65" s="3363"/>
      <c r="C65" s="3364"/>
      <c r="D65" s="2008">
        <f t="shared" ref="D65:P65" si="25">SUM(D55:D64)</f>
        <v>0</v>
      </c>
      <c r="E65" s="2736">
        <f t="shared" si="25"/>
        <v>0</v>
      </c>
      <c r="F65" s="2736">
        <f t="shared" si="25"/>
        <v>0</v>
      </c>
      <c r="G65" s="2736">
        <f t="shared" si="25"/>
        <v>0</v>
      </c>
      <c r="H65" s="2736">
        <f t="shared" si="25"/>
        <v>0</v>
      </c>
      <c r="I65" s="2736">
        <f t="shared" si="25"/>
        <v>0</v>
      </c>
      <c r="J65" s="2736">
        <f t="shared" si="25"/>
        <v>0</v>
      </c>
      <c r="K65" s="2736">
        <f t="shared" si="25"/>
        <v>0</v>
      </c>
      <c r="L65" s="2736">
        <f t="shared" si="25"/>
        <v>0</v>
      </c>
      <c r="M65" s="2736">
        <f t="shared" si="25"/>
        <v>0</v>
      </c>
      <c r="N65" s="2736">
        <f t="shared" si="25"/>
        <v>0</v>
      </c>
      <c r="O65" s="2009">
        <f t="shared" si="25"/>
        <v>0</v>
      </c>
      <c r="P65" s="2008">
        <f t="shared" si="25"/>
        <v>0</v>
      </c>
      <c r="Q65" s="3374" t="s">
        <v>414</v>
      </c>
      <c r="R65" s="3375"/>
      <c r="T65" s="2007"/>
      <c r="U65" s="2010"/>
      <c r="V65" s="2011"/>
      <c r="W65" s="2737">
        <f t="shared" ref="W65:AI65" si="26">SUM(W55:W64)</f>
        <v>0</v>
      </c>
      <c r="X65" s="2736">
        <f t="shared" si="26"/>
        <v>0</v>
      </c>
      <c r="Y65" s="2736">
        <f t="shared" si="26"/>
        <v>0</v>
      </c>
      <c r="Z65" s="2736">
        <f t="shared" si="26"/>
        <v>0</v>
      </c>
      <c r="AA65" s="2736">
        <f t="shared" si="26"/>
        <v>0</v>
      </c>
      <c r="AB65" s="2736">
        <f t="shared" si="26"/>
        <v>0</v>
      </c>
      <c r="AC65" s="2736">
        <f t="shared" si="26"/>
        <v>0</v>
      </c>
      <c r="AD65" s="2736">
        <f t="shared" si="26"/>
        <v>0</v>
      </c>
      <c r="AE65" s="2736">
        <f t="shared" si="26"/>
        <v>0</v>
      </c>
      <c r="AF65" s="2736">
        <f t="shared" si="26"/>
        <v>0</v>
      </c>
      <c r="AG65" s="2736">
        <f t="shared" si="26"/>
        <v>0</v>
      </c>
      <c r="AH65" s="2009">
        <f t="shared" si="26"/>
        <v>0</v>
      </c>
      <c r="AI65" s="2008">
        <f t="shared" si="26"/>
        <v>0</v>
      </c>
      <c r="AJ65" s="3415" t="s">
        <v>414</v>
      </c>
      <c r="AK65" s="3416"/>
    </row>
    <row r="66" spans="1:37" ht="21.75" customHeight="1" thickTop="1" thickBot="1">
      <c r="Q66" s="3370">
        <f>'2.Ventas y Cobros (Ej 1º,2º)'!P37-P65</f>
        <v>0</v>
      </c>
      <c r="R66" s="3371"/>
      <c r="AJ66" s="3413">
        <f>'2.Ventas y Cobros (Ej 1º,2º)'!AI37-AI65+'2.Ventas y Cobros (Ej 1º,2º)'!Q66</f>
        <v>0</v>
      </c>
      <c r="AK66" s="3414"/>
    </row>
    <row r="67" spans="1:37" ht="16.5" thickTop="1">
      <c r="Q67" s="1993"/>
      <c r="R67" s="1993"/>
      <c r="AJ67" s="1994"/>
      <c r="AK67" s="1995"/>
    </row>
    <row r="68" spans="1:37" ht="17.25" hidden="1" thickBot="1">
      <c r="A68" s="1718"/>
      <c r="B68" s="2047" t="s">
        <v>656</v>
      </c>
      <c r="C68" s="2048"/>
    </row>
    <row r="69" spans="1:37" ht="23.25" hidden="1" customHeight="1" thickTop="1" thickBot="1">
      <c r="A69" s="1718"/>
      <c r="B69" s="1127" t="s">
        <v>258</v>
      </c>
      <c r="C69" s="808"/>
      <c r="D69" s="488"/>
      <c r="E69" s="488"/>
      <c r="F69" s="488"/>
      <c r="G69" s="488"/>
      <c r="H69" s="488"/>
      <c r="I69" s="488"/>
      <c r="J69" s="488"/>
      <c r="K69" s="488"/>
      <c r="L69" s="488"/>
      <c r="M69" s="488"/>
      <c r="N69" s="488"/>
      <c r="O69" s="488"/>
      <c r="P69" s="809" t="s">
        <v>7</v>
      </c>
      <c r="Q69" s="1719"/>
      <c r="R69" s="1720" t="s">
        <v>242</v>
      </c>
      <c r="U69" s="1127" t="s">
        <v>258</v>
      </c>
      <c r="V69" s="808"/>
      <c r="W69" s="488"/>
      <c r="X69" s="488"/>
      <c r="Y69" s="488"/>
      <c r="Z69" s="488"/>
      <c r="AA69" s="488"/>
      <c r="AB69" s="488"/>
      <c r="AC69" s="488"/>
      <c r="AD69" s="488"/>
      <c r="AE69" s="488"/>
      <c r="AF69" s="488"/>
      <c r="AG69" s="488"/>
      <c r="AH69" s="488"/>
      <c r="AI69" s="809" t="s">
        <v>7</v>
      </c>
      <c r="AJ69" s="3408" t="s">
        <v>242</v>
      </c>
      <c r="AK69" s="3409"/>
    </row>
    <row r="70" spans="1:37" ht="23.25" hidden="1" customHeight="1" thickTop="1" thickBot="1">
      <c r="A70" s="1718"/>
      <c r="B70" s="3381" t="s">
        <v>208</v>
      </c>
      <c r="C70" s="3382"/>
      <c r="D70" s="1794"/>
      <c r="E70" s="1795"/>
      <c r="F70" s="1795"/>
      <c r="G70" s="1795"/>
      <c r="H70" s="1795"/>
      <c r="I70" s="1795"/>
      <c r="J70" s="1795"/>
      <c r="K70" s="1795"/>
      <c r="L70" s="1795"/>
      <c r="M70" s="1795"/>
      <c r="N70" s="1795"/>
      <c r="O70" s="1796"/>
      <c r="P70" s="1699">
        <f>SUM(D70:O70)</f>
        <v>0</v>
      </c>
      <c r="Q70" s="1719"/>
      <c r="R70" s="1721">
        <f>Deuda_Clientes-P70</f>
        <v>0</v>
      </c>
      <c r="U70" s="3368" t="s">
        <v>208</v>
      </c>
      <c r="V70" s="3369"/>
      <c r="W70" s="1700"/>
      <c r="X70" s="1701"/>
      <c r="Y70" s="1701"/>
      <c r="Z70" s="1701"/>
      <c r="AA70" s="1701"/>
      <c r="AB70" s="1701"/>
      <c r="AC70" s="1701"/>
      <c r="AD70" s="1701"/>
      <c r="AE70" s="1701"/>
      <c r="AF70" s="1701"/>
      <c r="AG70" s="1701"/>
      <c r="AH70" s="1702"/>
      <c r="AI70" s="1699">
        <f>SUM(W70:AH70)</f>
        <v>0</v>
      </c>
      <c r="AJ70" s="3410">
        <f>'2.Ventas y Cobros (Ej 1º,2º)'!R70-AI70</f>
        <v>0</v>
      </c>
      <c r="AK70" s="3409"/>
    </row>
    <row r="71" spans="1:37" ht="23.25" hidden="1" customHeight="1" thickBot="1">
      <c r="A71" s="1718"/>
      <c r="B71" s="3372" t="s">
        <v>209</v>
      </c>
      <c r="C71" s="3373"/>
      <c r="D71" s="1797"/>
      <c r="E71" s="1797"/>
      <c r="F71" s="1797"/>
      <c r="G71" s="1797"/>
      <c r="H71" s="1797"/>
      <c r="I71" s="1797"/>
      <c r="J71" s="1797"/>
      <c r="K71" s="1797"/>
      <c r="L71" s="1797"/>
      <c r="M71" s="1797"/>
      <c r="N71" s="1797"/>
      <c r="O71" s="1797"/>
      <c r="P71" s="811">
        <f>SUM(D71:O71)</f>
        <v>0</v>
      </c>
      <c r="Q71" s="1719"/>
      <c r="R71" s="1721">
        <f>Otros_Deudores-P71</f>
        <v>0</v>
      </c>
      <c r="U71" s="3372" t="s">
        <v>209</v>
      </c>
      <c r="V71" s="3373"/>
      <c r="W71" s="1703"/>
      <c r="X71" s="557"/>
      <c r="Y71" s="557"/>
      <c r="Z71" s="557"/>
      <c r="AA71" s="557"/>
      <c r="AB71" s="557"/>
      <c r="AC71" s="557"/>
      <c r="AD71" s="557"/>
      <c r="AE71" s="557"/>
      <c r="AF71" s="557"/>
      <c r="AG71" s="557"/>
      <c r="AH71" s="557"/>
      <c r="AI71" s="811">
        <f>SUM(W71:AH71)</f>
        <v>0</v>
      </c>
      <c r="AJ71" s="3410">
        <f>'2.Ventas y Cobros (Ej 1º,2º)'!R71-AI71</f>
        <v>0</v>
      </c>
      <c r="AK71" s="3409"/>
    </row>
    <row r="72" spans="1:37" ht="23.25" hidden="1" customHeight="1" thickTop="1">
      <c r="Q72" s="1993"/>
      <c r="R72" s="1993"/>
      <c r="AJ72" s="1994"/>
      <c r="AK72" s="1995"/>
    </row>
    <row r="73" spans="1:37" ht="23.25" hidden="1" customHeight="1">
      <c r="Q73" s="1993"/>
      <c r="R73" s="1993"/>
      <c r="AJ73" s="1994"/>
      <c r="AK73" s="1995"/>
    </row>
    <row r="74" spans="1:37" ht="23.25" customHeight="1">
      <c r="Q74" s="1993"/>
      <c r="R74" s="1993"/>
      <c r="AJ74" s="1994"/>
      <c r="AK74" s="1995"/>
    </row>
    <row r="75" spans="1:37" ht="23.25" customHeight="1">
      <c r="Q75" s="1993"/>
      <c r="R75" s="1993"/>
      <c r="AJ75" s="1994"/>
      <c r="AK75" s="1995"/>
    </row>
    <row r="76" spans="1:37" ht="30.75" customHeight="1">
      <c r="C76" s="3350" t="s">
        <v>652</v>
      </c>
      <c r="D76" s="3347"/>
      <c r="E76" s="3347"/>
      <c r="F76" s="3347"/>
      <c r="G76" s="3347"/>
      <c r="H76" s="3347"/>
      <c r="I76" s="3347"/>
      <c r="J76" s="3347"/>
      <c r="K76" s="3347"/>
      <c r="L76" s="3347"/>
      <c r="M76" s="3347"/>
      <c r="N76" s="3347"/>
      <c r="O76" s="3347"/>
      <c r="Q76" s="1993"/>
      <c r="R76" s="1993"/>
      <c r="W76" s="3350" t="s">
        <v>652</v>
      </c>
      <c r="X76" s="3351"/>
      <c r="Y76" s="3351"/>
      <c r="Z76" s="3351"/>
      <c r="AA76" s="3351"/>
      <c r="AB76" s="3352"/>
      <c r="AC76" s="3352"/>
      <c r="AD76" s="3352"/>
      <c r="AE76" s="3352"/>
      <c r="AF76" s="3352"/>
      <c r="AG76" s="3352"/>
      <c r="AH76" s="3352"/>
      <c r="AJ76" s="1994"/>
      <c r="AK76" s="1995"/>
    </row>
    <row r="77" spans="1:37" ht="26.25" customHeight="1">
      <c r="I77" s="2022" t="str">
        <f>I34</f>
        <v>1º Ejercicio 0</v>
      </c>
      <c r="Q77" s="1993"/>
      <c r="R77" s="1993"/>
      <c r="AB77" s="2022" t="str">
        <f>AB34</f>
        <v>2º Ejercicio 1</v>
      </c>
      <c r="AJ77" s="1994"/>
      <c r="AK77" s="1995"/>
    </row>
    <row r="78" spans="1:37" ht="20.25" customHeight="1" thickBot="1">
      <c r="Q78" s="1993"/>
      <c r="R78" s="1993"/>
      <c r="AJ78" s="1994"/>
      <c r="AK78" s="1995"/>
    </row>
    <row r="79" spans="1:37" ht="33" customHeight="1" thickTop="1" thickBot="1">
      <c r="A79" s="3357" t="s">
        <v>653</v>
      </c>
      <c r="B79" s="3358"/>
      <c r="C79" s="1996">
        <v>0</v>
      </c>
      <c r="D79" s="2727" t="str">
        <f>'2.Ventas y Cobros (Ej 1º,2º)'!D8</f>
        <v>Enero</v>
      </c>
      <c r="E79" s="2733" t="str">
        <f>'2.Ventas y Cobros (Ej 1º,2º)'!E8</f>
        <v>Febrero</v>
      </c>
      <c r="F79" s="2733" t="str">
        <f>'2.Ventas y Cobros (Ej 1º,2º)'!F8</f>
        <v>Marzo</v>
      </c>
      <c r="G79" s="2733" t="str">
        <f>'2.Ventas y Cobros (Ej 1º,2º)'!G8</f>
        <v>Abril</v>
      </c>
      <c r="H79" s="2733" t="str">
        <f>'2.Ventas y Cobros (Ej 1º,2º)'!H8</f>
        <v>Mayo</v>
      </c>
      <c r="I79" s="2733" t="str">
        <f>'2.Ventas y Cobros (Ej 1º,2º)'!I8</f>
        <v>Junio</v>
      </c>
      <c r="J79" s="2733" t="str">
        <f>'2.Ventas y Cobros (Ej 1º,2º)'!J8</f>
        <v>Julio</v>
      </c>
      <c r="K79" s="2733" t="str">
        <f>'2.Ventas y Cobros (Ej 1º,2º)'!K8</f>
        <v>Agosto</v>
      </c>
      <c r="L79" s="2733" t="str">
        <f>'2.Ventas y Cobros (Ej 1º,2º)'!L8</f>
        <v>Septiembre</v>
      </c>
      <c r="M79" s="2733" t="str">
        <f>'2.Ventas y Cobros (Ej 1º,2º)'!M8</f>
        <v>Octubre</v>
      </c>
      <c r="N79" s="2733" t="str">
        <f>'2.Ventas y Cobros (Ej 1º,2º)'!N8</f>
        <v>Noviembre</v>
      </c>
      <c r="O79" s="2730" t="str">
        <f>'2.Ventas y Cobros (Ej 1º,2º)'!O8</f>
        <v>Diciembre</v>
      </c>
      <c r="P79" s="3376" t="s">
        <v>79</v>
      </c>
      <c r="Q79" s="1993"/>
      <c r="R79" s="1993"/>
      <c r="V79" s="1942">
        <f>'2.Ventas y Cobros (Ej 1º,2º)'!C79</f>
        <v>0</v>
      </c>
      <c r="W79" s="2727" t="str">
        <f>'2.Ventas y Cobros (Ej 1º,2º)'!W8</f>
        <v>Enero</v>
      </c>
      <c r="X79" s="2733" t="str">
        <f>'2.Ventas y Cobros (Ej 1º,2º)'!X8</f>
        <v>Febrero</v>
      </c>
      <c r="Y79" s="2733" t="str">
        <f>'2.Ventas y Cobros (Ej 1º,2º)'!Y8</f>
        <v>Marzo</v>
      </c>
      <c r="Z79" s="2733" t="str">
        <f>'2.Ventas y Cobros (Ej 1º,2º)'!Z8</f>
        <v>Abril</v>
      </c>
      <c r="AA79" s="2733" t="str">
        <f>'2.Ventas y Cobros (Ej 1º,2º)'!AA8</f>
        <v>Mayo</v>
      </c>
      <c r="AB79" s="2733" t="str">
        <f>'2.Ventas y Cobros (Ej 1º,2º)'!AB8</f>
        <v>Junio</v>
      </c>
      <c r="AC79" s="2733" t="str">
        <f>'2.Ventas y Cobros (Ej 1º,2º)'!AC8</f>
        <v>Julio</v>
      </c>
      <c r="AD79" s="2733" t="str">
        <f>'2.Ventas y Cobros (Ej 1º,2º)'!AD8</f>
        <v>Agosto</v>
      </c>
      <c r="AE79" s="2733" t="str">
        <f>'2.Ventas y Cobros (Ej 1º,2º)'!AE8</f>
        <v>Septiembre</v>
      </c>
      <c r="AF79" s="2733" t="str">
        <f>'2.Ventas y Cobros (Ej 1º,2º)'!AF8</f>
        <v>Octubre</v>
      </c>
      <c r="AG79" s="2733" t="str">
        <f>'2.Ventas y Cobros (Ej 1º,2º)'!AG8</f>
        <v>Noviembre</v>
      </c>
      <c r="AH79" s="1864" t="str">
        <f>'2.Ventas y Cobros (Ej 1º,2º)'!AH8</f>
        <v>Diciembre</v>
      </c>
      <c r="AI79" s="3376" t="s">
        <v>79</v>
      </c>
      <c r="AJ79" s="1994"/>
      <c r="AK79" s="1995"/>
    </row>
    <row r="80" spans="1:37" ht="42" customHeight="1" thickBot="1">
      <c r="A80" s="3359" t="s">
        <v>654</v>
      </c>
      <c r="B80" s="3360"/>
      <c r="C80" s="3361"/>
      <c r="D80" s="2728">
        <v>0</v>
      </c>
      <c r="E80" s="2734">
        <f t="shared" ref="E80:O80" si="27">D80</f>
        <v>0</v>
      </c>
      <c r="F80" s="2734">
        <f t="shared" si="27"/>
        <v>0</v>
      </c>
      <c r="G80" s="2734">
        <f t="shared" si="27"/>
        <v>0</v>
      </c>
      <c r="H80" s="2734">
        <f t="shared" si="27"/>
        <v>0</v>
      </c>
      <c r="I80" s="2734">
        <f t="shared" si="27"/>
        <v>0</v>
      </c>
      <c r="J80" s="2734">
        <f t="shared" si="27"/>
        <v>0</v>
      </c>
      <c r="K80" s="2734">
        <f t="shared" si="27"/>
        <v>0</v>
      </c>
      <c r="L80" s="2734">
        <f t="shared" si="27"/>
        <v>0</v>
      </c>
      <c r="M80" s="2734">
        <f t="shared" si="27"/>
        <v>0</v>
      </c>
      <c r="N80" s="2734">
        <f t="shared" si="27"/>
        <v>0</v>
      </c>
      <c r="O80" s="2731">
        <f t="shared" si="27"/>
        <v>0</v>
      </c>
      <c r="P80" s="3377"/>
      <c r="Q80" s="1993"/>
      <c r="R80" s="1993"/>
      <c r="W80" s="2728">
        <f>O80</f>
        <v>0</v>
      </c>
      <c r="X80" s="2734">
        <f t="shared" ref="X80:AH80" si="28">W80</f>
        <v>0</v>
      </c>
      <c r="Y80" s="2734">
        <f t="shared" si="28"/>
        <v>0</v>
      </c>
      <c r="Z80" s="2734">
        <f t="shared" si="28"/>
        <v>0</v>
      </c>
      <c r="AA80" s="2734">
        <f t="shared" si="28"/>
        <v>0</v>
      </c>
      <c r="AB80" s="2734">
        <f t="shared" si="28"/>
        <v>0</v>
      </c>
      <c r="AC80" s="2734">
        <f t="shared" si="28"/>
        <v>0</v>
      </c>
      <c r="AD80" s="2734">
        <f t="shared" si="28"/>
        <v>0</v>
      </c>
      <c r="AE80" s="2734">
        <f t="shared" si="28"/>
        <v>0</v>
      </c>
      <c r="AF80" s="2734">
        <f t="shared" si="28"/>
        <v>0</v>
      </c>
      <c r="AG80" s="2734">
        <f t="shared" si="28"/>
        <v>0</v>
      </c>
      <c r="AH80" s="2731">
        <f t="shared" si="28"/>
        <v>0</v>
      </c>
      <c r="AI80" s="3377"/>
      <c r="AJ80" s="1994"/>
      <c r="AK80" s="1995"/>
    </row>
    <row r="81" spans="1:37" s="2016" customFormat="1" ht="24.75" customHeight="1" thickTop="1" thickBot="1">
      <c r="A81" s="3362" t="s">
        <v>655</v>
      </c>
      <c r="B81" s="3363"/>
      <c r="C81" s="3364"/>
      <c r="D81" s="2729">
        <f>'2.Ventas y Cobros (Ej 1º,2º)'!D37*D80*'2.Ventas y Cobros (Ej 1º,2º)'!$C$79</f>
        <v>0</v>
      </c>
      <c r="E81" s="2735">
        <f>'2.Ventas y Cobros (Ej 1º,2º)'!E37*E80*'2.Ventas y Cobros (Ej 1º,2º)'!$C$79</f>
        <v>0</v>
      </c>
      <c r="F81" s="2735">
        <f>'2.Ventas y Cobros (Ej 1º,2º)'!F37*F80*'2.Ventas y Cobros (Ej 1º,2º)'!$C$79</f>
        <v>0</v>
      </c>
      <c r="G81" s="2735">
        <f>'2.Ventas y Cobros (Ej 1º,2º)'!G37*G80*'2.Ventas y Cobros (Ej 1º,2º)'!$C$79</f>
        <v>0</v>
      </c>
      <c r="H81" s="2735">
        <f>'2.Ventas y Cobros (Ej 1º,2º)'!H37*H80*'2.Ventas y Cobros (Ej 1º,2º)'!$C$79</f>
        <v>0</v>
      </c>
      <c r="I81" s="2735">
        <f>'2.Ventas y Cobros (Ej 1º,2º)'!I37*I80*'2.Ventas y Cobros (Ej 1º,2º)'!$C$79</f>
        <v>0</v>
      </c>
      <c r="J81" s="2735">
        <f>'2.Ventas y Cobros (Ej 1º,2º)'!J37*J80*'2.Ventas y Cobros (Ej 1º,2º)'!$C$79</f>
        <v>0</v>
      </c>
      <c r="K81" s="2735">
        <f>'2.Ventas y Cobros (Ej 1º,2º)'!K37*K80*'2.Ventas y Cobros (Ej 1º,2º)'!$C$79</f>
        <v>0</v>
      </c>
      <c r="L81" s="2735">
        <f>'2.Ventas y Cobros (Ej 1º,2º)'!L37*L80*'2.Ventas y Cobros (Ej 1º,2º)'!$C$79</f>
        <v>0</v>
      </c>
      <c r="M81" s="2735">
        <f>'2.Ventas y Cobros (Ej 1º,2º)'!M37*M80*'2.Ventas y Cobros (Ej 1º,2º)'!$C$79</f>
        <v>0</v>
      </c>
      <c r="N81" s="2735">
        <f>'2.Ventas y Cobros (Ej 1º,2º)'!N37*N80*'2.Ventas y Cobros (Ej 1º,2º)'!$C$79</f>
        <v>0</v>
      </c>
      <c r="O81" s="2732">
        <f>'2.Ventas y Cobros (Ej 1º,2º)'!O37*O80*'2.Ventas y Cobros (Ej 1º,2º)'!$C$79</f>
        <v>0</v>
      </c>
      <c r="P81" s="2012">
        <f>SUM(D81:O81)</f>
        <v>0</v>
      </c>
      <c r="Q81" s="2015"/>
      <c r="R81" s="2015"/>
      <c r="T81" s="2017"/>
      <c r="W81" s="2729">
        <f>'2.Ventas y Cobros (Ej 1º,2º)'!W37*W80*'2.Ventas y Cobros (Ej 1º,2º)'!$V$79</f>
        <v>0</v>
      </c>
      <c r="X81" s="2735">
        <f>'2.Ventas y Cobros (Ej 1º,2º)'!X37*X80*'2.Ventas y Cobros (Ej 1º,2º)'!$V$79</f>
        <v>0</v>
      </c>
      <c r="Y81" s="2735">
        <f>'2.Ventas y Cobros (Ej 1º,2º)'!Y37*Y80*'2.Ventas y Cobros (Ej 1º,2º)'!$V$79</f>
        <v>0</v>
      </c>
      <c r="Z81" s="2735">
        <f>'2.Ventas y Cobros (Ej 1º,2º)'!Z37*Z80*'2.Ventas y Cobros (Ej 1º,2º)'!$V$79</f>
        <v>0</v>
      </c>
      <c r="AA81" s="2735">
        <f>'2.Ventas y Cobros (Ej 1º,2º)'!AA37*AA80*'2.Ventas y Cobros (Ej 1º,2º)'!$V$79</f>
        <v>0</v>
      </c>
      <c r="AB81" s="2735">
        <f>'2.Ventas y Cobros (Ej 1º,2º)'!AB37*AB80*'2.Ventas y Cobros (Ej 1º,2º)'!$V$79</f>
        <v>0</v>
      </c>
      <c r="AC81" s="2735">
        <f>'2.Ventas y Cobros (Ej 1º,2º)'!AC37*AC80*'2.Ventas y Cobros (Ej 1º,2º)'!$V$79</f>
        <v>0</v>
      </c>
      <c r="AD81" s="2735">
        <f>'2.Ventas y Cobros (Ej 1º,2º)'!AD37*AD80*'2.Ventas y Cobros (Ej 1º,2º)'!$V$79</f>
        <v>0</v>
      </c>
      <c r="AE81" s="2735">
        <f>'2.Ventas y Cobros (Ej 1º,2º)'!AE37*AE80*'2.Ventas y Cobros (Ej 1º,2º)'!$V$79</f>
        <v>0</v>
      </c>
      <c r="AF81" s="2735">
        <f>'2.Ventas y Cobros (Ej 1º,2º)'!AF37*AF80*'2.Ventas y Cobros (Ej 1º,2º)'!$V$79</f>
        <v>0</v>
      </c>
      <c r="AG81" s="2735">
        <f>'2.Ventas y Cobros (Ej 1º,2º)'!AG37*AG80*'2.Ventas y Cobros (Ej 1º,2º)'!$V$79</f>
        <v>0</v>
      </c>
      <c r="AH81" s="2732">
        <f>'2.Ventas y Cobros (Ej 1º,2º)'!AH37*AH80*'2.Ventas y Cobros (Ej 1º,2º)'!$V$79</f>
        <v>0</v>
      </c>
      <c r="AI81" s="2012">
        <f>SUM(W81:AH81)</f>
        <v>0</v>
      </c>
      <c r="AJ81" s="2018"/>
      <c r="AK81" s="2019"/>
    </row>
    <row r="82" spans="1:37" ht="24" customHeight="1" thickTop="1">
      <c r="Q82" s="1993"/>
      <c r="R82" s="1993"/>
      <c r="AJ82" s="1994"/>
      <c r="AK82" s="1995"/>
    </row>
    <row r="83" spans="1:37" ht="24" customHeight="1">
      <c r="Q83" s="1993"/>
      <c r="R83" s="1993"/>
      <c r="AJ83" s="1994"/>
      <c r="AK83" s="1995"/>
    </row>
    <row r="84" spans="1:37" s="1840" customFormat="1" ht="5.25" customHeight="1">
      <c r="A84" s="1838"/>
      <c r="B84" s="1838"/>
      <c r="C84" s="1839"/>
      <c r="T84" s="1829"/>
    </row>
    <row r="85" spans="1:37" s="301" customFormat="1" ht="24.75" customHeight="1">
      <c r="A85" s="312" t="str">
        <f>IF('1.Datos Básicos. Product-Serv'!B5=0,"",'1.Datos Básicos. Product-Serv'!B5)</f>
        <v/>
      </c>
      <c r="B85" s="312"/>
      <c r="P85" s="291"/>
      <c r="T85" s="1834"/>
      <c r="AI85" s="291"/>
    </row>
    <row r="86" spans="1:37" s="301" customFormat="1" ht="24.75" customHeight="1">
      <c r="A86" s="312"/>
      <c r="B86" s="312"/>
      <c r="P86" s="291"/>
      <c r="T86" s="1834"/>
      <c r="AI86" s="291"/>
    </row>
    <row r="87" spans="1:37" s="301" customFormat="1" ht="30.75" customHeight="1">
      <c r="A87" s="312"/>
      <c r="B87" s="312"/>
      <c r="C87" s="3346" t="s">
        <v>631</v>
      </c>
      <c r="D87" s="3347"/>
      <c r="E87" s="3347"/>
      <c r="F87" s="3347"/>
      <c r="G87" s="3347"/>
      <c r="H87" s="3347"/>
      <c r="I87" s="3347"/>
      <c r="J87" s="3347"/>
      <c r="K87" s="3347"/>
      <c r="L87" s="3347"/>
      <c r="M87" s="3347"/>
      <c r="N87" s="3347"/>
      <c r="O87" s="3347"/>
      <c r="P87" s="1643"/>
      <c r="T87" s="1834"/>
      <c r="W87" s="3346" t="s">
        <v>631</v>
      </c>
      <c r="X87" s="3353"/>
      <c r="Y87" s="3353"/>
      <c r="Z87" s="3353"/>
      <c r="AA87" s="3353"/>
      <c r="AB87" s="3354"/>
      <c r="AC87" s="3354"/>
      <c r="AD87" s="3354"/>
      <c r="AE87" s="3354"/>
      <c r="AF87" s="3354"/>
      <c r="AG87" s="3354"/>
      <c r="AH87" s="3354"/>
      <c r="AI87" s="1643"/>
    </row>
    <row r="88" spans="1:37" s="301" customFormat="1" ht="23.25" customHeight="1">
      <c r="C88" s="299"/>
      <c r="D88" s="1122"/>
      <c r="E88" s="300"/>
      <c r="F88" s="300"/>
      <c r="G88" s="300"/>
      <c r="H88" s="300"/>
      <c r="I88" s="1657" t="str">
        <f>I4</f>
        <v>1º Ejercicio 0</v>
      </c>
      <c r="L88" s="300"/>
      <c r="M88" s="300"/>
      <c r="N88" s="300"/>
      <c r="O88" s="300"/>
      <c r="P88" s="313"/>
      <c r="T88" s="1834"/>
      <c r="W88" s="1122"/>
      <c r="X88" s="300"/>
      <c r="Y88" s="300"/>
      <c r="Z88" s="300"/>
      <c r="AA88" s="300"/>
      <c r="AB88" s="1657" t="str">
        <f>AB4</f>
        <v>2º Ejercicio 1</v>
      </c>
      <c r="AC88" s="1623"/>
      <c r="AE88" s="300"/>
      <c r="AF88" s="300"/>
      <c r="AG88" s="300"/>
      <c r="AH88" s="300"/>
      <c r="AI88" s="313"/>
    </row>
    <row r="89" spans="1:37" s="301" customFormat="1" ht="18" customHeight="1" thickBot="1">
      <c r="C89" s="299"/>
      <c r="D89" s="291"/>
      <c r="E89" s="300"/>
      <c r="F89" s="300"/>
      <c r="G89" s="300"/>
      <c r="H89" s="300"/>
      <c r="I89" s="300"/>
      <c r="J89" s="300"/>
      <c r="K89" s="300"/>
      <c r="L89" s="300"/>
      <c r="M89" s="300"/>
      <c r="N89" s="300"/>
      <c r="O89" s="300"/>
      <c r="P89" s="313"/>
      <c r="T89" s="1834"/>
      <c r="W89" s="291"/>
      <c r="X89" s="300"/>
      <c r="Y89" s="300"/>
      <c r="Z89" s="300"/>
      <c r="AA89" s="300"/>
      <c r="AB89" s="300"/>
      <c r="AC89" s="300"/>
      <c r="AD89" s="300"/>
      <c r="AE89" s="300"/>
      <c r="AF89" s="300"/>
      <c r="AG89" s="300"/>
      <c r="AH89" s="300"/>
      <c r="AI89" s="313"/>
    </row>
    <row r="90" spans="1:37" s="302" customFormat="1" ht="18.75" customHeight="1" thickTop="1" thickBot="1">
      <c r="C90" s="1824" t="s">
        <v>42</v>
      </c>
      <c r="D90" s="1825" t="str">
        <f t="shared" ref="D90:P90" si="29">D8</f>
        <v>Enero</v>
      </c>
      <c r="E90" s="2738" t="str">
        <f t="shared" si="29"/>
        <v>Febrero</v>
      </c>
      <c r="F90" s="2738" t="str">
        <f t="shared" si="29"/>
        <v>Marzo</v>
      </c>
      <c r="G90" s="2738" t="str">
        <f t="shared" si="29"/>
        <v>Abril</v>
      </c>
      <c r="H90" s="2738" t="str">
        <f t="shared" si="29"/>
        <v>Mayo</v>
      </c>
      <c r="I90" s="2738" t="str">
        <f t="shared" si="29"/>
        <v>Junio</v>
      </c>
      <c r="J90" s="2738" t="str">
        <f t="shared" si="29"/>
        <v>Julio</v>
      </c>
      <c r="K90" s="2738" t="str">
        <f t="shared" si="29"/>
        <v>Agosto</v>
      </c>
      <c r="L90" s="2738" t="str">
        <f t="shared" si="29"/>
        <v>Septiembre</v>
      </c>
      <c r="M90" s="2738" t="str">
        <f t="shared" si="29"/>
        <v>Octubre</v>
      </c>
      <c r="N90" s="2738" t="str">
        <f t="shared" si="29"/>
        <v>Noviembre</v>
      </c>
      <c r="O90" s="1826" t="str">
        <f t="shared" si="29"/>
        <v>Diciembre</v>
      </c>
      <c r="P90" s="1827" t="str">
        <f t="shared" si="29"/>
        <v>Totales</v>
      </c>
      <c r="T90" s="1835"/>
      <c r="W90" s="1825" t="str">
        <f t="shared" ref="W90:AI90" si="30">W8</f>
        <v>Enero</v>
      </c>
      <c r="X90" s="2738" t="str">
        <f t="shared" si="30"/>
        <v>Febrero</v>
      </c>
      <c r="Y90" s="2738" t="str">
        <f t="shared" si="30"/>
        <v>Marzo</v>
      </c>
      <c r="Z90" s="2738" t="str">
        <f t="shared" si="30"/>
        <v>Abril</v>
      </c>
      <c r="AA90" s="2738" t="str">
        <f t="shared" si="30"/>
        <v>Mayo</v>
      </c>
      <c r="AB90" s="2738" t="str">
        <f t="shared" si="30"/>
        <v>Junio</v>
      </c>
      <c r="AC90" s="2738" t="str">
        <f t="shared" si="30"/>
        <v>Julio</v>
      </c>
      <c r="AD90" s="2738" t="str">
        <f t="shared" si="30"/>
        <v>Agosto</v>
      </c>
      <c r="AE90" s="2738" t="str">
        <f t="shared" si="30"/>
        <v>Septiembre</v>
      </c>
      <c r="AF90" s="2738" t="str">
        <f t="shared" si="30"/>
        <v>Octubre</v>
      </c>
      <c r="AG90" s="2738" t="str">
        <f t="shared" si="30"/>
        <v>Noviembre</v>
      </c>
      <c r="AH90" s="1826" t="str">
        <f t="shared" si="30"/>
        <v>Diciembre</v>
      </c>
      <c r="AI90" s="1827" t="str">
        <f t="shared" si="30"/>
        <v>Totales</v>
      </c>
    </row>
    <row r="91" spans="1:37" s="1751" customFormat="1" ht="37.5" customHeight="1" thickBot="1">
      <c r="C91" s="1828" t="s">
        <v>632</v>
      </c>
      <c r="D91" s="1752" t="str">
        <f t="shared" ref="D91:P91" si="31">IF($P$25&gt;0,D25/$P$25,"")</f>
        <v/>
      </c>
      <c r="E91" s="2739" t="str">
        <f t="shared" si="31"/>
        <v/>
      </c>
      <c r="F91" s="2739" t="str">
        <f t="shared" si="31"/>
        <v/>
      </c>
      <c r="G91" s="2739" t="str">
        <f t="shared" si="31"/>
        <v/>
      </c>
      <c r="H91" s="2739" t="str">
        <f t="shared" si="31"/>
        <v/>
      </c>
      <c r="I91" s="2739" t="str">
        <f t="shared" si="31"/>
        <v/>
      </c>
      <c r="J91" s="2739" t="str">
        <f t="shared" si="31"/>
        <v/>
      </c>
      <c r="K91" s="2739" t="str">
        <f t="shared" si="31"/>
        <v/>
      </c>
      <c r="L91" s="2739" t="str">
        <f t="shared" si="31"/>
        <v/>
      </c>
      <c r="M91" s="2739" t="str">
        <f t="shared" si="31"/>
        <v/>
      </c>
      <c r="N91" s="2739" t="str">
        <f t="shared" si="31"/>
        <v/>
      </c>
      <c r="O91" s="1753" t="str">
        <f t="shared" si="31"/>
        <v/>
      </c>
      <c r="P91" s="1754" t="str">
        <f t="shared" si="31"/>
        <v/>
      </c>
      <c r="Q91" s="302"/>
      <c r="R91" s="302"/>
      <c r="S91" s="302"/>
      <c r="T91" s="1835"/>
      <c r="U91" s="302"/>
      <c r="V91" s="302"/>
      <c r="W91" s="1752" t="str">
        <f t="shared" ref="W91:AI91" si="32">IF($AI$25&gt;0,W25/$AI$25,"")</f>
        <v/>
      </c>
      <c r="X91" s="2739" t="str">
        <f t="shared" si="32"/>
        <v/>
      </c>
      <c r="Y91" s="2739" t="str">
        <f t="shared" si="32"/>
        <v/>
      </c>
      <c r="Z91" s="2739" t="str">
        <f t="shared" si="32"/>
        <v/>
      </c>
      <c r="AA91" s="2739" t="str">
        <f t="shared" si="32"/>
        <v/>
      </c>
      <c r="AB91" s="2739" t="str">
        <f t="shared" si="32"/>
        <v/>
      </c>
      <c r="AC91" s="2739" t="str">
        <f t="shared" si="32"/>
        <v/>
      </c>
      <c r="AD91" s="2739" t="str">
        <f t="shared" si="32"/>
        <v/>
      </c>
      <c r="AE91" s="2739" t="str">
        <f t="shared" si="32"/>
        <v/>
      </c>
      <c r="AF91" s="2739" t="str">
        <f t="shared" si="32"/>
        <v/>
      </c>
      <c r="AG91" s="2739" t="str">
        <f t="shared" si="32"/>
        <v/>
      </c>
      <c r="AH91" s="1753" t="str">
        <f t="shared" si="32"/>
        <v/>
      </c>
      <c r="AI91" s="1754" t="str">
        <f t="shared" si="32"/>
        <v/>
      </c>
    </row>
    <row r="92" spans="1:37" s="314" customFormat="1" ht="21.75" customHeight="1" thickTop="1">
      <c r="T92" s="1836"/>
    </row>
    <row r="93" spans="1:37" s="301" customFormat="1" ht="21.75" customHeight="1">
      <c r="A93" s="314"/>
      <c r="B93" s="314"/>
      <c r="C93" s="314"/>
      <c r="D93" s="314"/>
      <c r="E93" s="314"/>
      <c r="F93" s="314"/>
      <c r="G93" s="314"/>
      <c r="H93" s="314"/>
      <c r="I93" s="314"/>
      <c r="J93" s="314"/>
      <c r="K93" s="314"/>
      <c r="L93" s="314"/>
      <c r="M93" s="314"/>
      <c r="N93" s="314"/>
      <c r="O93" s="314"/>
      <c r="P93" s="314"/>
      <c r="Q93" s="314"/>
      <c r="R93" s="314"/>
      <c r="S93" s="314"/>
      <c r="T93" s="1836"/>
      <c r="U93" s="314"/>
      <c r="V93" s="314"/>
      <c r="W93" s="314"/>
      <c r="X93" s="314"/>
      <c r="Y93" s="314"/>
      <c r="Z93" s="314"/>
      <c r="AA93" s="314"/>
      <c r="AB93" s="314"/>
      <c r="AC93" s="314"/>
      <c r="AD93" s="314"/>
      <c r="AE93" s="314"/>
      <c r="AF93" s="314"/>
      <c r="AG93" s="314"/>
      <c r="AH93" s="314"/>
      <c r="AI93" s="314"/>
    </row>
    <row r="94" spans="1:37" s="301" customFormat="1" ht="21.75" customHeight="1">
      <c r="A94" s="291"/>
      <c r="B94" s="291"/>
      <c r="P94" s="291"/>
      <c r="T94" s="1834"/>
    </row>
    <row r="95" spans="1:37" s="301" customFormat="1" ht="23.25" customHeight="1">
      <c r="P95" s="291"/>
      <c r="T95" s="1834"/>
    </row>
    <row r="96" spans="1:37" ht="18" customHeight="1">
      <c r="C96" s="1"/>
    </row>
    <row r="97" spans="1:30" ht="15" customHeight="1">
      <c r="C97" s="1"/>
    </row>
    <row r="98" spans="1:30" ht="15" customHeight="1">
      <c r="C98" s="1"/>
    </row>
    <row r="99" spans="1:30" ht="15" customHeight="1">
      <c r="C99" s="1"/>
    </row>
    <row r="100" spans="1:30" ht="15" customHeight="1">
      <c r="C100" s="1"/>
    </row>
    <row r="101" spans="1:30" ht="15" customHeight="1">
      <c r="C101" s="1"/>
    </row>
    <row r="102" spans="1:30" ht="15" customHeight="1">
      <c r="C102" s="1"/>
    </row>
    <row r="103" spans="1:30" ht="15" customHeight="1">
      <c r="C103" s="1"/>
    </row>
    <row r="104" spans="1:30" ht="15" customHeight="1">
      <c r="C104" s="1"/>
    </row>
    <row r="105" spans="1:30" ht="15" customHeight="1">
      <c r="C105" s="1"/>
    </row>
    <row r="106" spans="1:30" ht="15" customHeight="1">
      <c r="C106" s="1"/>
    </row>
    <row r="107" spans="1:30" ht="15" customHeight="1">
      <c r="C107" s="1"/>
    </row>
    <row r="108" spans="1:30" ht="15" customHeight="1">
      <c r="C108" s="1"/>
    </row>
    <row r="109" spans="1:30" ht="15" customHeight="1">
      <c r="C109" s="1"/>
    </row>
    <row r="110" spans="1:30" s="2939" customFormat="1" ht="8.25" customHeight="1">
      <c r="A110" s="2938"/>
      <c r="B110" s="2938"/>
      <c r="F110" s="2940"/>
      <c r="G110" s="2941"/>
      <c r="H110" s="2942"/>
      <c r="I110" s="2941"/>
      <c r="J110" s="2941"/>
      <c r="K110" s="2940"/>
      <c r="L110" s="2943"/>
      <c r="P110" s="2938"/>
      <c r="T110" s="2104"/>
    </row>
    <row r="111" spans="1:30" ht="15" customHeight="1">
      <c r="C111" s="1"/>
      <c r="W111" s="1624"/>
      <c r="X111" s="1625"/>
      <c r="Y111" s="1626"/>
      <c r="Z111" s="1625"/>
      <c r="AA111" s="1625"/>
      <c r="AB111" s="1625"/>
      <c r="AC111" s="1624"/>
      <c r="AD111" s="1625"/>
    </row>
    <row r="112" spans="1:30">
      <c r="C112" s="1"/>
    </row>
    <row r="113" spans="1:35" s="301" customFormat="1" ht="23.25" hidden="1" customHeight="1">
      <c r="A113" s="291"/>
      <c r="B113" s="291"/>
      <c r="C113" s="299"/>
      <c r="D113" s="1122" t="s">
        <v>160</v>
      </c>
      <c r="E113" s="300"/>
      <c r="F113" s="300"/>
      <c r="G113" s="300"/>
      <c r="H113" s="300"/>
      <c r="I113" s="300"/>
      <c r="J113" s="300"/>
      <c r="K113" s="300"/>
      <c r="L113" s="300"/>
      <c r="M113" s="300"/>
      <c r="N113" s="300"/>
      <c r="O113" s="300"/>
      <c r="P113" s="313"/>
      <c r="T113" s="1834"/>
      <c r="W113" s="1122" t="s">
        <v>160</v>
      </c>
      <c r="X113" s="300"/>
      <c r="Y113" s="300"/>
      <c r="Z113" s="300"/>
      <c r="AA113" s="300"/>
      <c r="AB113" s="300"/>
      <c r="AC113" s="300"/>
      <c r="AD113" s="300"/>
      <c r="AE113" s="300"/>
      <c r="AF113" s="300"/>
      <c r="AG113" s="300"/>
      <c r="AH113" s="300"/>
      <c r="AI113" s="313"/>
    </row>
    <row r="114" spans="1:35" s="301" customFormat="1" ht="17.25" hidden="1" customHeight="1" thickBot="1">
      <c r="A114" s="291"/>
      <c r="B114" s="291"/>
      <c r="C114" s="299"/>
      <c r="D114" s="291"/>
      <c r="E114" s="300"/>
      <c r="F114" s="300"/>
      <c r="G114" s="300"/>
      <c r="H114" s="300"/>
      <c r="I114" s="300"/>
      <c r="J114" s="300"/>
      <c r="K114" s="300"/>
      <c r="L114" s="300"/>
      <c r="M114" s="300"/>
      <c r="N114" s="300"/>
      <c r="O114" s="300"/>
      <c r="P114" s="313"/>
      <c r="T114" s="1834"/>
      <c r="W114" s="291"/>
      <c r="X114" s="300"/>
      <c r="Y114" s="300"/>
      <c r="Z114" s="300"/>
      <c r="AA114" s="300"/>
      <c r="AB114" s="300"/>
      <c r="AC114" s="300"/>
      <c r="AD114" s="300"/>
      <c r="AE114" s="300"/>
      <c r="AF114" s="300"/>
      <c r="AG114" s="300"/>
      <c r="AH114" s="300"/>
      <c r="AI114" s="313"/>
    </row>
    <row r="115" spans="1:35" s="315" customFormat="1" ht="41.25" hidden="1" customHeight="1" thickTop="1" thickBot="1">
      <c r="C115" s="524"/>
      <c r="D115" s="525" t="s">
        <v>250</v>
      </c>
      <c r="E115" s="526" t="s">
        <v>251</v>
      </c>
      <c r="F115" s="526" t="s">
        <v>252</v>
      </c>
      <c r="G115" s="526" t="s">
        <v>253</v>
      </c>
      <c r="H115" s="526" t="s">
        <v>254</v>
      </c>
      <c r="I115" s="526" t="s">
        <v>255</v>
      </c>
      <c r="J115" s="527" t="s">
        <v>84</v>
      </c>
      <c r="T115" s="1837"/>
      <c r="W115" s="1121" t="s">
        <v>250</v>
      </c>
      <c r="X115" s="526" t="s">
        <v>251</v>
      </c>
      <c r="Y115" s="526" t="s">
        <v>252</v>
      </c>
      <c r="Z115" s="526" t="s">
        <v>253</v>
      </c>
      <c r="AA115" s="526" t="s">
        <v>254</v>
      </c>
      <c r="AB115" s="526" t="s">
        <v>255</v>
      </c>
      <c r="AC115" s="527" t="s">
        <v>84</v>
      </c>
    </row>
    <row r="116" spans="1:35" s="301" customFormat="1" ht="16.5" hidden="1" customHeight="1">
      <c r="C116" s="316" t="str">
        <f>A9</f>
        <v/>
      </c>
      <c r="D116" s="1704">
        <f>P10</f>
        <v>0</v>
      </c>
      <c r="E116" s="1705" t="str">
        <f t="shared" ref="E116:E123" si="33">IF(AND($D$125&gt;0,D116&gt;0),D116/$D$125,"")</f>
        <v/>
      </c>
      <c r="F116" s="318">
        <f>'3.Costes D.V. y Pagos (1º,2º)'!P8</f>
        <v>0</v>
      </c>
      <c r="G116" s="317" t="str">
        <f t="shared" ref="G116:G123" si="34">IF(AND($F$125&gt;0,F116&gt;0),F116/$F$125,"")</f>
        <v/>
      </c>
      <c r="H116" s="318">
        <f t="shared" ref="H116:H123" si="35">D116-F116</f>
        <v>0</v>
      </c>
      <c r="I116" s="317" t="str">
        <f>IF(D116&gt;0,H116/D116,"")</f>
        <v/>
      </c>
      <c r="J116" s="319" t="str">
        <f t="shared" ref="J116:J123" si="36">IF(AND($H$125&gt;0,H116&gt;0),H116/$H$125,"")</f>
        <v/>
      </c>
      <c r="T116" s="1834"/>
      <c r="W116" s="1704">
        <f>AI10</f>
        <v>0</v>
      </c>
      <c r="X116" s="1705" t="str">
        <f t="shared" ref="X116:X123" si="37">IF(AND($W$125&gt;0,W116&gt;0),W116/$W$125,"")</f>
        <v/>
      </c>
      <c r="Y116" s="318">
        <f>'3.Costes D.V. y Pagos (1º,2º)'!AK8</f>
        <v>0</v>
      </c>
      <c r="Z116" s="317" t="str">
        <f t="shared" ref="Z116:Z123" si="38">IF(AND($Y$125&gt;0,Y116&gt;0),Y116/$Y$125,"")</f>
        <v/>
      </c>
      <c r="AA116" s="318">
        <f t="shared" ref="AA116:AA123" si="39">W116-Y116</f>
        <v>0</v>
      </c>
      <c r="AB116" s="317" t="str">
        <f>IF(W116&gt;0,AA116/W116,"")</f>
        <v/>
      </c>
      <c r="AC116" s="319" t="str">
        <f t="shared" ref="AC116:AC123" si="40">IF(AND($AA$125&gt;0,AA116&gt;0),AA116/$AA$125,"")</f>
        <v/>
      </c>
    </row>
    <row r="117" spans="1:35" s="301" customFormat="1" ht="17.25" hidden="1" customHeight="1">
      <c r="C117" s="1631" t="str">
        <f>A11</f>
        <v/>
      </c>
      <c r="D117" s="1706">
        <f>P12</f>
        <v>0</v>
      </c>
      <c r="E117" s="1707" t="str">
        <f t="shared" si="33"/>
        <v/>
      </c>
      <c r="F117" s="1633">
        <f>'3.Costes D.V. y Pagos (1º,2º)'!P9</f>
        <v>0</v>
      </c>
      <c r="G117" s="1632" t="str">
        <f t="shared" si="34"/>
        <v/>
      </c>
      <c r="H117" s="1633">
        <f t="shared" si="35"/>
        <v>0</v>
      </c>
      <c r="I117" s="1632" t="str">
        <f t="shared" ref="I117:I123" si="41">IF(D117&gt;0,H117/D117,"")</f>
        <v/>
      </c>
      <c r="J117" s="1634" t="str">
        <f t="shared" si="36"/>
        <v/>
      </c>
      <c r="T117" s="1834"/>
      <c r="W117" s="1706">
        <f>AI12</f>
        <v>0</v>
      </c>
      <c r="X117" s="1707" t="str">
        <f t="shared" si="37"/>
        <v/>
      </c>
      <c r="Y117" s="1633">
        <f>'3.Costes D.V. y Pagos (1º,2º)'!AK9</f>
        <v>0</v>
      </c>
      <c r="Z117" s="1632" t="str">
        <f t="shared" si="38"/>
        <v/>
      </c>
      <c r="AA117" s="1633">
        <f t="shared" si="39"/>
        <v>0</v>
      </c>
      <c r="AB117" s="1632" t="str">
        <f t="shared" ref="AB117:AB123" si="42">IF(W117&gt;0,AA117/W117,"")</f>
        <v/>
      </c>
      <c r="AC117" s="1634" t="str">
        <f t="shared" si="40"/>
        <v/>
      </c>
    </row>
    <row r="118" spans="1:35" s="301" customFormat="1" ht="17.25" hidden="1" customHeight="1">
      <c r="C118" s="1631" t="str">
        <f>A13</f>
        <v/>
      </c>
      <c r="D118" s="1706">
        <f>P14</f>
        <v>0</v>
      </c>
      <c r="E118" s="1707" t="str">
        <f t="shared" si="33"/>
        <v/>
      </c>
      <c r="F118" s="1633">
        <f>'3.Costes D.V. y Pagos (1º,2º)'!P10</f>
        <v>0</v>
      </c>
      <c r="G118" s="1632" t="str">
        <f t="shared" si="34"/>
        <v/>
      </c>
      <c r="H118" s="1633">
        <f t="shared" si="35"/>
        <v>0</v>
      </c>
      <c r="I118" s="1632" t="str">
        <f t="shared" si="41"/>
        <v/>
      </c>
      <c r="J118" s="1634" t="str">
        <f t="shared" si="36"/>
        <v/>
      </c>
      <c r="T118" s="1834"/>
      <c r="W118" s="1706">
        <f>AI14</f>
        <v>0</v>
      </c>
      <c r="X118" s="1707" t="str">
        <f t="shared" si="37"/>
        <v/>
      </c>
      <c r="Y118" s="1633">
        <f>'3.Costes D.V. y Pagos (1º,2º)'!AK10</f>
        <v>0</v>
      </c>
      <c r="Z118" s="1632" t="str">
        <f t="shared" si="38"/>
        <v/>
      </c>
      <c r="AA118" s="1633">
        <f t="shared" si="39"/>
        <v>0</v>
      </c>
      <c r="AB118" s="1632" t="str">
        <f t="shared" si="42"/>
        <v/>
      </c>
      <c r="AC118" s="1634" t="str">
        <f t="shared" si="40"/>
        <v/>
      </c>
    </row>
    <row r="119" spans="1:35" s="301" customFormat="1" ht="17.25" hidden="1" customHeight="1">
      <c r="C119" s="1631" t="str">
        <f>A15</f>
        <v/>
      </c>
      <c r="D119" s="1706">
        <f>P16</f>
        <v>0</v>
      </c>
      <c r="E119" s="1707" t="str">
        <f t="shared" si="33"/>
        <v/>
      </c>
      <c r="F119" s="1633">
        <f>'3.Costes D.V. y Pagos (1º,2º)'!P11</f>
        <v>0</v>
      </c>
      <c r="G119" s="1632" t="str">
        <f t="shared" si="34"/>
        <v/>
      </c>
      <c r="H119" s="1633">
        <f t="shared" si="35"/>
        <v>0</v>
      </c>
      <c r="I119" s="1632" t="str">
        <f t="shared" si="41"/>
        <v/>
      </c>
      <c r="J119" s="1634" t="str">
        <f t="shared" si="36"/>
        <v/>
      </c>
      <c r="T119" s="1834"/>
      <c r="W119" s="1706">
        <f>AI16</f>
        <v>0</v>
      </c>
      <c r="X119" s="1707" t="str">
        <f t="shared" si="37"/>
        <v/>
      </c>
      <c r="Y119" s="1633">
        <f>'3.Costes D.V. y Pagos (1º,2º)'!AK11</f>
        <v>0</v>
      </c>
      <c r="Z119" s="1632" t="str">
        <f t="shared" si="38"/>
        <v/>
      </c>
      <c r="AA119" s="1633">
        <f t="shared" si="39"/>
        <v>0</v>
      </c>
      <c r="AB119" s="1632" t="str">
        <f t="shared" si="42"/>
        <v/>
      </c>
      <c r="AC119" s="1634" t="str">
        <f t="shared" si="40"/>
        <v/>
      </c>
    </row>
    <row r="120" spans="1:35" s="301" customFormat="1" ht="17.25" hidden="1" customHeight="1" thickBot="1">
      <c r="C120" s="322" t="str">
        <f>A17</f>
        <v/>
      </c>
      <c r="D120" s="1708">
        <f>P18</f>
        <v>0</v>
      </c>
      <c r="E120" s="1709" t="str">
        <f t="shared" si="33"/>
        <v/>
      </c>
      <c r="F120" s="324">
        <f>'3.Costes D.V. y Pagos (1º,2º)'!P12</f>
        <v>0</v>
      </c>
      <c r="G120" s="323" t="str">
        <f t="shared" si="34"/>
        <v/>
      </c>
      <c r="H120" s="324">
        <f t="shared" si="35"/>
        <v>0</v>
      </c>
      <c r="I120" s="323" t="str">
        <f t="shared" si="41"/>
        <v/>
      </c>
      <c r="J120" s="325" t="str">
        <f t="shared" si="36"/>
        <v/>
      </c>
      <c r="T120" s="1834"/>
      <c r="W120" s="1708">
        <f>AI18</f>
        <v>0</v>
      </c>
      <c r="X120" s="1709" t="str">
        <f t="shared" si="37"/>
        <v/>
      </c>
      <c r="Y120" s="324">
        <f>'3.Costes D.V. y Pagos (1º,2º)'!AK12</f>
        <v>0</v>
      </c>
      <c r="Z120" s="323" t="str">
        <f t="shared" si="38"/>
        <v/>
      </c>
      <c r="AA120" s="324">
        <f t="shared" si="39"/>
        <v>0</v>
      </c>
      <c r="AB120" s="323" t="str">
        <f t="shared" si="42"/>
        <v/>
      </c>
      <c r="AC120" s="325" t="str">
        <f t="shared" si="40"/>
        <v/>
      </c>
    </row>
    <row r="121" spans="1:35" s="301" customFormat="1" ht="17.25" hidden="1" customHeight="1">
      <c r="C121" s="316" t="str">
        <f>A19</f>
        <v/>
      </c>
      <c r="D121" s="1710">
        <f>P20</f>
        <v>0</v>
      </c>
      <c r="E121" s="1711" t="str">
        <f t="shared" si="33"/>
        <v/>
      </c>
      <c r="F121" s="321">
        <f>'3.Costes D.V. y Pagos (1º,2º)'!P13</f>
        <v>0</v>
      </c>
      <c r="G121" s="320" t="str">
        <f t="shared" si="34"/>
        <v/>
      </c>
      <c r="H121" s="321">
        <f t="shared" si="35"/>
        <v>0</v>
      </c>
      <c r="I121" s="320" t="str">
        <f t="shared" si="41"/>
        <v/>
      </c>
      <c r="J121" s="319" t="str">
        <f t="shared" si="36"/>
        <v/>
      </c>
      <c r="T121" s="1834"/>
      <c r="W121" s="1710">
        <f>AI20</f>
        <v>0</v>
      </c>
      <c r="X121" s="1711" t="str">
        <f t="shared" si="37"/>
        <v/>
      </c>
      <c r="Y121" s="321">
        <f>'3.Costes D.V. y Pagos (1º,2º)'!AK13</f>
        <v>0</v>
      </c>
      <c r="Z121" s="320" t="str">
        <f t="shared" si="38"/>
        <v/>
      </c>
      <c r="AA121" s="321">
        <f t="shared" si="39"/>
        <v>0</v>
      </c>
      <c r="AB121" s="320" t="str">
        <f t="shared" si="42"/>
        <v/>
      </c>
      <c r="AC121" s="319" t="str">
        <f t="shared" si="40"/>
        <v/>
      </c>
    </row>
    <row r="122" spans="1:35" s="301" customFormat="1" ht="17.25" hidden="1" customHeight="1">
      <c r="C122" s="1631" t="str">
        <f>A21</f>
        <v/>
      </c>
      <c r="D122" s="1706">
        <f>P22</f>
        <v>0</v>
      </c>
      <c r="E122" s="1707" t="str">
        <f t="shared" si="33"/>
        <v/>
      </c>
      <c r="F122" s="1633">
        <f>'3.Costes D.V. y Pagos (1º,2º)'!P14</f>
        <v>0</v>
      </c>
      <c r="G122" s="1632" t="str">
        <f t="shared" si="34"/>
        <v/>
      </c>
      <c r="H122" s="1633">
        <f t="shared" si="35"/>
        <v>0</v>
      </c>
      <c r="I122" s="1632" t="str">
        <f t="shared" si="41"/>
        <v/>
      </c>
      <c r="J122" s="1634" t="str">
        <f t="shared" si="36"/>
        <v/>
      </c>
      <c r="T122" s="1834"/>
      <c r="W122" s="1706">
        <f>AI22</f>
        <v>0</v>
      </c>
      <c r="X122" s="1707" t="str">
        <f t="shared" si="37"/>
        <v/>
      </c>
      <c r="Y122" s="1633">
        <f>'3.Costes D.V. y Pagos (1º,2º)'!AK14</f>
        <v>0</v>
      </c>
      <c r="Z122" s="1632" t="str">
        <f t="shared" si="38"/>
        <v/>
      </c>
      <c r="AA122" s="1633">
        <f t="shared" si="39"/>
        <v>0</v>
      </c>
      <c r="AB122" s="1632" t="str">
        <f t="shared" si="42"/>
        <v/>
      </c>
      <c r="AC122" s="1634" t="str">
        <f t="shared" si="40"/>
        <v/>
      </c>
    </row>
    <row r="123" spans="1:35" s="301" customFormat="1" ht="17.25" hidden="1" customHeight="1">
      <c r="C123" s="1631" t="str">
        <f>A23</f>
        <v/>
      </c>
      <c r="D123" s="1706">
        <f>P24</f>
        <v>0</v>
      </c>
      <c r="E123" s="1707" t="str">
        <f t="shared" si="33"/>
        <v/>
      </c>
      <c r="F123" s="1633">
        <f>'3.Costes D.V. y Pagos (1º,2º)'!P15</f>
        <v>0</v>
      </c>
      <c r="G123" s="1632" t="str">
        <f t="shared" si="34"/>
        <v/>
      </c>
      <c r="H123" s="1633">
        <f t="shared" si="35"/>
        <v>0</v>
      </c>
      <c r="I123" s="1632" t="str">
        <f t="shared" si="41"/>
        <v/>
      </c>
      <c r="J123" s="1634" t="str">
        <f t="shared" si="36"/>
        <v/>
      </c>
      <c r="T123" s="1834"/>
      <c r="W123" s="1706">
        <f>AI24</f>
        <v>0</v>
      </c>
      <c r="X123" s="1707" t="str">
        <f t="shared" si="37"/>
        <v/>
      </c>
      <c r="Y123" s="1633">
        <f>'3.Costes D.V. y Pagos (1º,2º)'!AK15</f>
        <v>0</v>
      </c>
      <c r="Z123" s="1632" t="str">
        <f t="shared" si="38"/>
        <v/>
      </c>
      <c r="AA123" s="1633">
        <f t="shared" si="39"/>
        <v>0</v>
      </c>
      <c r="AB123" s="1632" t="str">
        <f t="shared" si="42"/>
        <v/>
      </c>
      <c r="AC123" s="1634" t="str">
        <f t="shared" si="40"/>
        <v/>
      </c>
    </row>
    <row r="124" spans="1:35" s="301" customFormat="1" ht="3.75" hidden="1" customHeight="1" thickBot="1">
      <c r="C124" s="326"/>
      <c r="D124" s="1708"/>
      <c r="E124" s="1709"/>
      <c r="F124" s="324"/>
      <c r="G124" s="323"/>
      <c r="H124" s="324"/>
      <c r="I124" s="327"/>
      <c r="J124" s="325"/>
      <c r="T124" s="1834"/>
      <c r="W124" s="1708"/>
      <c r="X124" s="1709"/>
      <c r="Y124" s="324"/>
      <c r="Z124" s="323"/>
      <c r="AA124" s="324"/>
      <c r="AB124" s="327"/>
      <c r="AC124" s="325"/>
    </row>
    <row r="125" spans="1:35" s="301" customFormat="1" ht="21" hidden="1" customHeight="1" thickTop="1" thickBot="1">
      <c r="C125" s="328"/>
      <c r="D125" s="1712">
        <f>SUM(D116:D124)</f>
        <v>0</v>
      </c>
      <c r="E125" s="1713" t="str">
        <f>IF(SUM(E116:E124)&gt;0,SUM(E116:E124),"")</f>
        <v/>
      </c>
      <c r="F125" s="330">
        <f>SUM(F116:F124)</f>
        <v>0</v>
      </c>
      <c r="G125" s="329" t="str">
        <f>IF(SUM(G116:G124)&gt;0,SUM(G116:G124),"")</f>
        <v/>
      </c>
      <c r="H125" s="330" t="str">
        <f>IF((D125-F125)=0,"",(D125-F125))</f>
        <v/>
      </c>
      <c r="I125" s="331" t="str">
        <f>IF(D125&gt;0,H125/D125,"")</f>
        <v/>
      </c>
      <c r="J125" s="332" t="str">
        <f>IF(SUM(J116:J124)&gt;0,SUM(J116:J124),"")</f>
        <v/>
      </c>
      <c r="T125" s="1834"/>
      <c r="W125" s="1712">
        <f>SUM(W116:W124)</f>
        <v>0</v>
      </c>
      <c r="X125" s="1713" t="str">
        <f>IF(SUM(X116:X124)&gt;0,SUM(X116:X124),"")</f>
        <v/>
      </c>
      <c r="Y125" s="330">
        <f>SUM(Y116:Y124)</f>
        <v>0</v>
      </c>
      <c r="Z125" s="329" t="str">
        <f>IF(SUM(Z116:Z124)&gt;0,SUM(Z116:Z124),"")</f>
        <v/>
      </c>
      <c r="AA125" s="330" t="str">
        <f>IF((W125-Y125)=0,"",(W125-Y125))</f>
        <v/>
      </c>
      <c r="AB125" s="331" t="str">
        <f>IF(W125&gt;0,AA125/W125,"")</f>
        <v/>
      </c>
      <c r="AC125" s="332" t="str">
        <f>IF(SUM(AC116:AC124)&gt;0,SUM(AC116:AC124),"")</f>
        <v/>
      </c>
    </row>
    <row r="126" spans="1:35" ht="16.5" hidden="1" thickTop="1"/>
    <row r="132" spans="1:16" hidden="1"/>
    <row r="133" spans="1:16" hidden="1">
      <c r="D133" s="1282" t="s">
        <v>502</v>
      </c>
      <c r="E133" s="1282" t="s">
        <v>18</v>
      </c>
      <c r="F133" s="1282" t="s">
        <v>19</v>
      </c>
      <c r="G133" s="1282" t="s">
        <v>20</v>
      </c>
      <c r="H133" s="1282" t="s">
        <v>21</v>
      </c>
      <c r="I133" s="1282" t="s">
        <v>22</v>
      </c>
      <c r="J133" s="1282" t="s">
        <v>23</v>
      </c>
      <c r="K133" s="1282" t="s">
        <v>24</v>
      </c>
      <c r="L133" s="1282" t="s">
        <v>25</v>
      </c>
      <c r="M133" s="1282" t="s">
        <v>26</v>
      </c>
      <c r="N133" s="1282" t="s">
        <v>27</v>
      </c>
      <c r="O133" s="1282" t="s">
        <v>28</v>
      </c>
    </row>
    <row r="134" spans="1:16" ht="20.25" hidden="1">
      <c r="A134" s="3349" t="s">
        <v>501</v>
      </c>
      <c r="B134" s="3349"/>
      <c r="C134" s="3349"/>
      <c r="D134" s="1282" t="e">
        <f>+#REF!</f>
        <v>#REF!</v>
      </c>
      <c r="E134" s="1282" t="e">
        <f>+#REF!</f>
        <v>#REF!</v>
      </c>
      <c r="F134" s="1282" t="e">
        <f>+#REF!</f>
        <v>#REF!</v>
      </c>
      <c r="G134" s="1282" t="e">
        <f>+#REF!</f>
        <v>#REF!</v>
      </c>
      <c r="H134" s="1282" t="e">
        <f>+#REF!</f>
        <v>#REF!</v>
      </c>
      <c r="I134" s="1282" t="e">
        <f>+#REF!</f>
        <v>#REF!</v>
      </c>
      <c r="J134" s="1282" t="e">
        <f>+#REF!</f>
        <v>#REF!</v>
      </c>
      <c r="K134" s="1282" t="e">
        <f>+#REF!</f>
        <v>#REF!</v>
      </c>
      <c r="L134" s="1282" t="e">
        <f>+#REF!</f>
        <v>#REF!</v>
      </c>
      <c r="M134" s="1282" t="e">
        <f>+#REF!</f>
        <v>#REF!</v>
      </c>
      <c r="N134" s="1282" t="e">
        <f>+#REF!</f>
        <v>#REF!</v>
      </c>
      <c r="O134" s="1282" t="e">
        <f>+#REF!</f>
        <v>#REF!</v>
      </c>
    </row>
    <row r="135" spans="1:16" hidden="1">
      <c r="A135" s="3348" t="s">
        <v>503</v>
      </c>
      <c r="B135" s="3348"/>
      <c r="C135" s="3348"/>
      <c r="D135" s="1283" t="e">
        <f>+IF(D134&gt;$P$29,"conseguido",$P$29-D134)</f>
        <v>#REF!</v>
      </c>
      <c r="E135" s="1283" t="e">
        <f>+IF((D134+E134)&gt;$P$29,"conseguido",$P$29-(D134+E134))</f>
        <v>#REF!</v>
      </c>
      <c r="F135" s="1283" t="e">
        <f>+IF((D134+E134+F134)&gt;$P$29,"conseguido",$P$29-(D134+E134+F134))</f>
        <v>#REF!</v>
      </c>
      <c r="G135" s="1283" t="e">
        <f>+IF((D134+E134+F134+G134)&gt;$P$29,"conseguido",$P$29-(D134+E134+F134+G134))</f>
        <v>#REF!</v>
      </c>
      <c r="H135" s="1283" t="e">
        <f>+IF((D134+E134+F134+G134+H134)&gt;$P$29,"conseguido",$P$29-(D134+E134+F134+G134+H134))</f>
        <v>#REF!</v>
      </c>
      <c r="I135" s="1283" t="e">
        <f>+IF((D134+E134+F134+G134+H134+I134)&gt;$P$29,"conseguido",$P$29-(D134+E134+F134+G134+H134+I134))</f>
        <v>#REF!</v>
      </c>
      <c r="J135" s="1283" t="e">
        <f>+IF((D134+E134+F134+G134+H134+I134+J134)&gt;$P$29,"conseguido",$P$29-(D134+E134+F134+G134+H134+I134+J134))</f>
        <v>#REF!</v>
      </c>
      <c r="K135" s="1283" t="e">
        <f>+IF((D134+E134+F134+G134+H134+I134+J134+K134)&gt;$P$29,"conseguido",$P$29-(D134+E134+F134+G134+H134+I134+J134+K134))</f>
        <v>#REF!</v>
      </c>
      <c r="L135" s="1283" t="e">
        <f>+IF((D134+E134+F134+G134+H134+I134+J134+K134+L134)&gt;$P$29,"conseguido",$P$29-(D134+E134+F134+G134+H134+I134+J134+K134+L134))</f>
        <v>#REF!</v>
      </c>
      <c r="M135" s="1283" t="e">
        <f>+IF((D134+E134+F134+G134+H134+I134+J134+K134+L134+M134)&gt;$P$29,"conseguido",$P$29-(D134+E134+F134+G134+H134+I134+J134+K134+L134+M134))</f>
        <v>#REF!</v>
      </c>
      <c r="N135" s="1283" t="e">
        <f>+IF((D134+E134+F134+G134+H134+I134+J134+K134+L134+M134+N134)&gt;$P$29,"conseguido",$P$29-(D134+E134+F134+G134+H134+I134+J134+K134+L134+M134+N134))</f>
        <v>#REF!</v>
      </c>
      <c r="O135" s="1283" t="e">
        <f>+IF((D134+E134+F134+G134+H134+I134+J134+K134+L134+M134+N134+O134)&gt;$P$29,"conseguido",$P$29-(D134+E134+F134+G134+H134+I134+J134+K134+L134+M134+N134+O134))</f>
        <v>#REF!</v>
      </c>
    </row>
    <row r="136" spans="1:16" hidden="1">
      <c r="M136" s="3392" t="s">
        <v>504</v>
      </c>
      <c r="N136" s="3392"/>
      <c r="O136" s="3392"/>
      <c r="P136" s="1284" t="str">
        <f>+P29</f>
        <v/>
      </c>
    </row>
    <row r="137" spans="1:16" hidden="1"/>
    <row r="138" spans="1:16" hidden="1">
      <c r="C138" s="1281" t="s">
        <v>501</v>
      </c>
      <c r="D138" s="1280" t="e">
        <f>+#REF!</f>
        <v>#REF!</v>
      </c>
      <c r="E138" s="1285" t="e">
        <f>+D138/$D$138</f>
        <v>#REF!</v>
      </c>
    </row>
    <row r="139" spans="1:16" hidden="1">
      <c r="C139" s="1281" t="s">
        <v>505</v>
      </c>
      <c r="D139" s="1280" t="e">
        <f>+#REF!</f>
        <v>#REF!</v>
      </c>
      <c r="E139" s="1285" t="e">
        <f>+D139/$D$138</f>
        <v>#REF!</v>
      </c>
    </row>
    <row r="140" spans="1:16" hidden="1">
      <c r="C140" s="1281" t="s">
        <v>506</v>
      </c>
      <c r="D140" s="1280" t="e">
        <f>+#REF!</f>
        <v>#REF!</v>
      </c>
      <c r="E140" s="1285" t="e">
        <f>+D140/$D$138</f>
        <v>#REF!</v>
      </c>
    </row>
  </sheetData>
  <sheetProtection sheet="1" formatColumns="0" formatRows="0"/>
  <mergeCells count="85">
    <mergeCell ref="W3:AH3"/>
    <mergeCell ref="W33:AH33"/>
    <mergeCell ref="D39:F39"/>
    <mergeCell ref="W39:Y39"/>
    <mergeCell ref="N29:O29"/>
    <mergeCell ref="AG29:AH29"/>
    <mergeCell ref="C3:O3"/>
    <mergeCell ref="C33:O33"/>
    <mergeCell ref="A36:C37"/>
    <mergeCell ref="AI79:AI80"/>
    <mergeCell ref="Z44:AB44"/>
    <mergeCell ref="Z45:AB45"/>
    <mergeCell ref="Q64:R64"/>
    <mergeCell ref="Z40:AB40"/>
    <mergeCell ref="W41:Y41"/>
    <mergeCell ref="Z41:AB41"/>
    <mergeCell ref="W42:Y42"/>
    <mergeCell ref="Z42:AB42"/>
    <mergeCell ref="Z43:AB43"/>
    <mergeCell ref="W44:Y44"/>
    <mergeCell ref="Z51:AB51"/>
    <mergeCell ref="W46:Y46"/>
    <mergeCell ref="Z46:AB46"/>
    <mergeCell ref="W40:Y40"/>
    <mergeCell ref="Z47:AB47"/>
    <mergeCell ref="AJ69:AK69"/>
    <mergeCell ref="AJ70:AK70"/>
    <mergeCell ref="AJ71:AK71"/>
    <mergeCell ref="W45:Y45"/>
    <mergeCell ref="AJ64:AK64"/>
    <mergeCell ref="AJ66:AK66"/>
    <mergeCell ref="AJ65:AK65"/>
    <mergeCell ref="W47:Y47"/>
    <mergeCell ref="W48:Y48"/>
    <mergeCell ref="W50:Y50"/>
    <mergeCell ref="W49:Y49"/>
    <mergeCell ref="Z49:AB49"/>
    <mergeCell ref="Z48:AB48"/>
    <mergeCell ref="Z50:AB50"/>
    <mergeCell ref="W51:Y51"/>
    <mergeCell ref="M136:O136"/>
    <mergeCell ref="A27:C27"/>
    <mergeCell ref="A25:C25"/>
    <mergeCell ref="D41:F41"/>
    <mergeCell ref="D42:F42"/>
    <mergeCell ref="D43:F43"/>
    <mergeCell ref="D44:F44"/>
    <mergeCell ref="D45:F45"/>
    <mergeCell ref="D46:F46"/>
    <mergeCell ref="G40:I40"/>
    <mergeCell ref="G41:I41"/>
    <mergeCell ref="G42:I42"/>
    <mergeCell ref="G43:I43"/>
    <mergeCell ref="G44:I44"/>
    <mergeCell ref="G46:I46"/>
    <mergeCell ref="D50:F50"/>
    <mergeCell ref="G49:I49"/>
    <mergeCell ref="G50:I50"/>
    <mergeCell ref="A65:C65"/>
    <mergeCell ref="D47:F47"/>
    <mergeCell ref="D48:F48"/>
    <mergeCell ref="D49:F49"/>
    <mergeCell ref="D51:F51"/>
    <mergeCell ref="G51:I51"/>
    <mergeCell ref="D40:F40"/>
    <mergeCell ref="A79:B79"/>
    <mergeCell ref="A80:C80"/>
    <mergeCell ref="A81:C81"/>
    <mergeCell ref="W43:Y43"/>
    <mergeCell ref="U70:V70"/>
    <mergeCell ref="Q66:R66"/>
    <mergeCell ref="U71:V71"/>
    <mergeCell ref="Q65:R65"/>
    <mergeCell ref="P79:P80"/>
    <mergeCell ref="C76:O76"/>
    <mergeCell ref="G45:I45"/>
    <mergeCell ref="B71:C71"/>
    <mergeCell ref="B70:C70"/>
    <mergeCell ref="G47:I47"/>
    <mergeCell ref="G48:I48"/>
    <mergeCell ref="C87:O87"/>
    <mergeCell ref="A135:C135"/>
    <mergeCell ref="A134:C134"/>
    <mergeCell ref="W76:AH76"/>
    <mergeCell ref="W87:AH87"/>
  </mergeCells>
  <phoneticPr fontId="9" type="noConversion"/>
  <conditionalFormatting sqref="D116:D123 F116:F123 H116:H123 D27:P27 D25:P25 P9:P24 AI9:AI24">
    <cfRule type="cellIs" dxfId="333" priority="49" stopIfTrue="1" operator="equal">
      <formula>0</formula>
    </cfRule>
  </conditionalFormatting>
  <conditionalFormatting sqref="W116:W123 Y116:Y123 AA116:AA123 W27:AI27 W25:AI25">
    <cfRule type="cellIs" dxfId="332" priority="37" stopIfTrue="1" operator="equal">
      <formula>0</formula>
    </cfRule>
  </conditionalFormatting>
  <conditionalFormatting sqref="P29">
    <cfRule type="cellIs" dxfId="331" priority="35" stopIfTrue="1" operator="equal">
      <formula>0</formula>
    </cfRule>
  </conditionalFormatting>
  <conditionalFormatting sqref="AI29">
    <cfRule type="cellIs" dxfId="330" priority="33" stopIfTrue="1" operator="equal">
      <formula>0</formula>
    </cfRule>
  </conditionalFormatting>
  <conditionalFormatting sqref="I71:O71 D70:H71 W70:AA71">
    <cfRule type="expression" dxfId="329" priority="11" stopIfTrue="1">
      <formula>Consolidación?="NO"</formula>
    </cfRule>
  </conditionalFormatting>
  <conditionalFormatting sqref="I70:O70">
    <cfRule type="expression" dxfId="328" priority="12" stopIfTrue="1">
      <formula>Consolidación?="NO"</formula>
    </cfRule>
  </conditionalFormatting>
  <conditionalFormatting sqref="B70:C70">
    <cfRule type="expression" dxfId="327" priority="9" stopIfTrue="1">
      <formula>SUM(D70:O70)&lt;&gt;Deuda_Clientes</formula>
    </cfRule>
  </conditionalFormatting>
  <conditionalFormatting sqref="B71:C71">
    <cfRule type="expression" dxfId="326" priority="10" stopIfTrue="1">
      <formula>SUM($D$71:$O$71)&lt;&gt;Otros_Deudores</formula>
    </cfRule>
  </conditionalFormatting>
  <conditionalFormatting sqref="AB71:AH71">
    <cfRule type="expression" dxfId="325" priority="7" stopIfTrue="1">
      <formula>Consolidación?="NO"</formula>
    </cfRule>
  </conditionalFormatting>
  <conditionalFormatting sqref="AB70:AH70">
    <cfRule type="expression" dxfId="324" priority="8" stopIfTrue="1">
      <formula>Consolidación?="NO"</formula>
    </cfRule>
  </conditionalFormatting>
  <conditionalFormatting sqref="U71:V71">
    <cfRule type="expression" dxfId="323" priority="318" stopIfTrue="1">
      <formula>SUM($W$71:$AH$71)&lt;&gt;Pdte_Deudores</formula>
    </cfRule>
  </conditionalFormatting>
  <conditionalFormatting sqref="U70:V70">
    <cfRule type="expression" dxfId="322" priority="4" stopIfTrue="1">
      <formula>SUM($W$70:$AH$70)&lt;&gt;Pdte_Clientes</formula>
    </cfRule>
  </conditionalFormatting>
  <conditionalFormatting sqref="G51:I51">
    <cfRule type="expression" dxfId="321" priority="3" stopIfTrue="1">
      <formula>SUM($G$41:$I$50)&lt;&gt;1</formula>
    </cfRule>
  </conditionalFormatting>
  <conditionalFormatting sqref="Z51:AB51">
    <cfRule type="expression" dxfId="320" priority="1" stopIfTrue="1">
      <formula>SUM($Z$41:$AB$50)&lt;&gt;1</formula>
    </cfRule>
    <cfRule type="expression" dxfId="319" priority="2" stopIfTrue="1">
      <formula>SUM($G$41:$I$50)&lt;&gt;1</formula>
    </cfRule>
  </conditionalFormatting>
  <dataValidations count="2">
    <dataValidation type="decimal" operator="greaterThanOrEqual" allowBlank="1" showInputMessage="1" error="Solo valores mayores o iguales a cero." sqref="U2:U7 AB111:AC111 E136:K136 E137:P65515 W111:Z111 A136:C65515 D126:D65515 C126:C133 A126:B135 E126:P135 P136 M136 W34:AH34 A2:B34 AC88 C28:M29 AD4:AG5 P87 J34:P34 AI2:AK3 AI29:AI34 P29 C30:P32 P33 C4:C27 L85:P86 AI87 W84:AD86 AE85:AI86 I4:J4 AB4:AC4 W2:AH2 C34:H34 J111:L112 W112:AC112 A95:C95 J89:K93 Q84:V93 L88:P93 W88:AB93 C2:O2 AC89:AD93 K110:L110 A94:L94 J96:L109 K95:L95 AA94:AD94 AH30:AH32 AG24:AG27 Q126:IT65515 AL2:IT5 AB6:AG8 AL6:AO16 Y24:AF32 C88:I93 U9:U34 Q2:T34 AR6:IT34 AJ4:AK34 K4:O27 P2:P27 V2:V34 AL17:AQ34 AD96:AD112 N29 AG29:AG32 A65:C65 A81:C81 A113:XFD125 AJ84:IT112 M94:V112 A96:I112 W96:AC110 AE88:AI112 A84:B93 C84:K86 D5:I27 J6:J27 W5:AA8 W9:AG12 AH4:AI27 Y13:AG23 W13:X32">
      <formula1>0</formula1>
    </dataValidation>
    <dataValidation allowBlank="1" showInputMessage="1" sqref="C76 AJ72:AJ83 C87 C3 B36:B40 D36:D53 A51:B53 E53:F53 A36:A41 J36:P53 H53:I53 W87 H36:I39 G36:G53 C68 AC36:AI53 E36:F38 W53:AB53 W39:W52 V54 C64:Q64 C63:P63 C54:Q62 U65 W3:W4 U69:AJ71 R69:R71 B69:P71 Z36:AB39 W36:Y38 D65:Q65 W33 W64:AJ65 W54:AJ62 W63:AI63 Q72:Q83 D79:P81 C79 W79:AI81 V79 C33 W76 A79:A80 Q66:Q67 AJ66:AJ67 Z40:Z52"/>
  </dataValidations>
  <printOptions horizontalCentered="1" verticalCentered="1"/>
  <pageMargins left="0.38" right="0.19685039370078741" top="0.34" bottom="0.39" header="0.27" footer="0.34"/>
  <pageSetup paperSize="9" scale="39" fitToHeight="2" orientation="landscape" horizontalDpi="300" verticalDpi="300" r:id="rId1"/>
  <headerFooter alignWithMargins="0">
    <oddFooter>&amp;A</oddFooter>
  </headerFooter>
  <rowBreaks count="1" manualBreakCount="1">
    <brk id="84" max="14" man="1"/>
  </rowBreaks>
  <colBreaks count="2" manualBreakCount="2">
    <brk id="20" min="1" max="80" man="1"/>
    <brk id="20" min="84" max="108"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4"/>
  <sheetViews>
    <sheetView showGridLines="0" zoomScale="70" zoomScaleNormal="70" workbookViewId="0">
      <selection activeCell="C1" sqref="C1"/>
    </sheetView>
  </sheetViews>
  <sheetFormatPr baseColWidth="10" defaultRowHeight="12.75"/>
  <cols>
    <col min="1" max="1" width="26.83203125" customWidth="1"/>
    <col min="2" max="2" width="15" customWidth="1"/>
    <col min="3" max="3" width="33.5" customWidth="1"/>
    <col min="4" max="4" width="18" customWidth="1"/>
    <col min="5" max="12" width="17.83203125" customWidth="1"/>
    <col min="13" max="16" width="17.6640625" customWidth="1"/>
    <col min="17" max="17" width="6.5" customWidth="1"/>
    <col min="18" max="18" width="16.83203125" customWidth="1"/>
    <col min="19" max="19" width="6.33203125" customWidth="1"/>
    <col min="20" max="20" width="1.5" style="2051" customWidth="1"/>
    <col min="21" max="21" width="10.5" customWidth="1"/>
    <col min="22" max="22" width="14.33203125" customWidth="1"/>
    <col min="23" max="24" width="0" hidden="1" customWidth="1"/>
    <col min="25" max="36" width="18.83203125" customWidth="1"/>
    <col min="37" max="37" width="17.6640625" customWidth="1"/>
    <col min="38" max="38" width="6.33203125" customWidth="1"/>
    <col min="39" max="39" width="17.6640625" customWidth="1"/>
  </cols>
  <sheetData>
    <row r="1" spans="1:40" ht="15" customHeight="1"/>
    <row r="2" spans="1:40" ht="15" customHeight="1"/>
    <row r="3" spans="1:40" s="1" customFormat="1" ht="30.75" customHeight="1">
      <c r="A3" s="1643"/>
      <c r="B3" s="1643"/>
      <c r="C3" s="3350" t="s">
        <v>824</v>
      </c>
      <c r="D3" s="3440"/>
      <c r="E3" s="3440"/>
      <c r="F3" s="3440"/>
      <c r="G3" s="3440"/>
      <c r="H3" s="3440"/>
      <c r="I3" s="3440"/>
      <c r="J3" s="3440"/>
      <c r="K3" s="3440"/>
      <c r="L3" s="3440"/>
      <c r="M3" s="3440"/>
      <c r="N3" s="3440"/>
      <c r="O3" s="3440"/>
      <c r="P3" s="3440"/>
      <c r="Q3" s="3440"/>
      <c r="R3" s="3440"/>
      <c r="S3" s="136"/>
      <c r="T3" s="1829"/>
      <c r="Y3" s="3350" t="s">
        <v>824</v>
      </c>
      <c r="Z3" s="3440"/>
      <c r="AA3" s="3440"/>
      <c r="AB3" s="3440"/>
      <c r="AC3" s="3440"/>
      <c r="AD3" s="3440"/>
      <c r="AE3" s="3440"/>
      <c r="AF3" s="3440"/>
      <c r="AG3" s="3440"/>
      <c r="AH3" s="3440"/>
      <c r="AI3" s="3440"/>
      <c r="AJ3" s="3440"/>
      <c r="AK3" s="3440"/>
      <c r="AL3" s="3440"/>
      <c r="AM3" s="3440"/>
      <c r="AN3" s="3440"/>
    </row>
    <row r="4" spans="1:40" s="1" customFormat="1" ht="24" customHeight="1" thickBot="1">
      <c r="A4" s="1643"/>
      <c r="B4" s="1643"/>
      <c r="C4" s="1644"/>
      <c r="D4" s="1645"/>
      <c r="E4" s="159"/>
      <c r="F4" s="159"/>
      <c r="G4" s="159"/>
      <c r="H4" s="159"/>
      <c r="I4" s="1623" t="str">
        <f>'2.Ventas y Cobros (Ej 1º,2º)'!I4</f>
        <v>1º Ejercicio 0</v>
      </c>
      <c r="K4" s="1083"/>
      <c r="L4" s="1083"/>
      <c r="M4" s="1083"/>
      <c r="N4" s="235"/>
      <c r="O4" s="1083"/>
      <c r="P4" s="235"/>
      <c r="Q4" s="235"/>
      <c r="R4" s="235"/>
      <c r="S4" s="136"/>
      <c r="T4" s="1829"/>
      <c r="Y4" s="1645"/>
      <c r="Z4" s="159"/>
      <c r="AA4" s="159"/>
      <c r="AB4" s="159"/>
      <c r="AC4" s="159"/>
      <c r="AD4" s="1623" t="str">
        <f>'2.Ventas y Cobros (Ej 1º,2º)'!AB4</f>
        <v>2º Ejercicio 1</v>
      </c>
      <c r="AF4" s="1083"/>
      <c r="AG4" s="1083"/>
      <c r="AH4" s="1083"/>
      <c r="AI4" s="235"/>
      <c r="AJ4" s="1083"/>
      <c r="AK4" s="1083"/>
      <c r="AL4" s="1083"/>
      <c r="AM4" s="1083"/>
    </row>
    <row r="5" spans="1:40" s="1" customFormat="1" ht="21" customHeight="1" thickTop="1" thickBot="1">
      <c r="A5" s="3467" t="s">
        <v>638</v>
      </c>
      <c r="B5" s="3468"/>
      <c r="C5" s="3469"/>
      <c r="E5" s="300"/>
      <c r="F5" s="300"/>
      <c r="G5" s="300"/>
      <c r="H5" s="300"/>
      <c r="I5" s="1245"/>
      <c r="K5" s="301"/>
      <c r="L5" s="88"/>
      <c r="N5" s="88"/>
      <c r="O5" s="88"/>
      <c r="P5" s="89"/>
      <c r="T5" s="1829"/>
      <c r="Y5" s="1122"/>
      <c r="Z5" s="300"/>
      <c r="AA5" s="300"/>
      <c r="AB5" s="300"/>
      <c r="AC5" s="300"/>
      <c r="AG5" s="88"/>
      <c r="AI5" s="88"/>
      <c r="AJ5" s="88"/>
      <c r="AK5" s="89"/>
    </row>
    <row r="6" spans="1:40" s="1" customFormat="1" ht="3.75" customHeight="1" thickBot="1">
      <c r="D6" s="4"/>
      <c r="E6" s="88"/>
      <c r="F6" s="88"/>
      <c r="G6" s="88"/>
      <c r="H6" s="88"/>
      <c r="I6" s="88"/>
      <c r="J6" s="88"/>
      <c r="K6" s="88"/>
      <c r="L6" s="88"/>
      <c r="M6" s="88"/>
      <c r="N6" s="88"/>
      <c r="O6" s="88"/>
      <c r="P6" s="89"/>
      <c r="T6" s="1829"/>
      <c r="Y6" s="4"/>
      <c r="Z6" s="88"/>
      <c r="AA6" s="88"/>
      <c r="AB6" s="88"/>
      <c r="AC6" s="88"/>
      <c r="AD6" s="88"/>
      <c r="AE6" s="88"/>
      <c r="AF6" s="88"/>
      <c r="AG6" s="88"/>
      <c r="AH6" s="88"/>
      <c r="AI6" s="88"/>
      <c r="AJ6" s="88"/>
      <c r="AK6" s="89"/>
    </row>
    <row r="7" spans="1:40" s="95" customFormat="1" ht="60.75" customHeight="1" thickTop="1" thickBot="1">
      <c r="A7" s="1804" t="s">
        <v>38</v>
      </c>
      <c r="B7" s="1805" t="s">
        <v>647</v>
      </c>
      <c r="C7" s="1858"/>
      <c r="D7" s="1826" t="str">
        <f>'2.Ventas y Cobros (Ej 1º,2º)'!D8</f>
        <v>Enero</v>
      </c>
      <c r="E7" s="2738" t="str">
        <f>'2.Ventas y Cobros (Ej 1º,2º)'!E8</f>
        <v>Febrero</v>
      </c>
      <c r="F7" s="2738" t="str">
        <f>'2.Ventas y Cobros (Ej 1º,2º)'!F8</f>
        <v>Marzo</v>
      </c>
      <c r="G7" s="2738" t="str">
        <f>'2.Ventas y Cobros (Ej 1º,2º)'!G8</f>
        <v>Abril</v>
      </c>
      <c r="H7" s="2738" t="str">
        <f>'2.Ventas y Cobros (Ej 1º,2º)'!H8</f>
        <v>Mayo</v>
      </c>
      <c r="I7" s="2738" t="str">
        <f>'2.Ventas y Cobros (Ej 1º,2º)'!I8</f>
        <v>Junio</v>
      </c>
      <c r="J7" s="2738" t="str">
        <f>'2.Ventas y Cobros (Ej 1º,2º)'!J8</f>
        <v>Julio</v>
      </c>
      <c r="K7" s="2738" t="str">
        <f>'2.Ventas y Cobros (Ej 1º,2º)'!K8</f>
        <v>Agosto</v>
      </c>
      <c r="L7" s="2738" t="str">
        <f>'2.Ventas y Cobros (Ej 1º,2º)'!L8</f>
        <v>Septiembre</v>
      </c>
      <c r="M7" s="2738" t="str">
        <f>'2.Ventas y Cobros (Ej 1º,2º)'!M8</f>
        <v>Octubre</v>
      </c>
      <c r="N7" s="2738" t="str">
        <f>'2.Ventas y Cobros (Ej 1º,2º)'!N8</f>
        <v>Noviembre</v>
      </c>
      <c r="O7" s="1826" t="str">
        <f>'2.Ventas y Cobros (Ej 1º,2º)'!O8</f>
        <v>Diciembre</v>
      </c>
      <c r="P7" s="1808" t="s">
        <v>16</v>
      </c>
      <c r="Q7" s="302"/>
      <c r="R7" s="1805" t="s">
        <v>634</v>
      </c>
      <c r="S7" s="302"/>
      <c r="T7" s="1835"/>
      <c r="U7" s="302"/>
      <c r="V7" s="1949"/>
      <c r="W7" s="302"/>
      <c r="X7" s="302"/>
      <c r="Y7" s="1859" t="str">
        <f>'2.Ventas y Cobros (Ej 1º,2º)'!W8</f>
        <v>Enero</v>
      </c>
      <c r="Z7" s="2738" t="str">
        <f>'2.Ventas y Cobros (Ej 1º,2º)'!X8</f>
        <v>Febrero</v>
      </c>
      <c r="AA7" s="2738" t="str">
        <f>'2.Ventas y Cobros (Ej 1º,2º)'!Y8</f>
        <v>Marzo</v>
      </c>
      <c r="AB7" s="2738" t="str">
        <f>'2.Ventas y Cobros (Ej 1º,2º)'!Z8</f>
        <v>Abril</v>
      </c>
      <c r="AC7" s="2738" t="str">
        <f>'2.Ventas y Cobros (Ej 1º,2º)'!AA8</f>
        <v>Mayo</v>
      </c>
      <c r="AD7" s="2738" t="str">
        <f>'2.Ventas y Cobros (Ej 1º,2º)'!AB8</f>
        <v>Junio</v>
      </c>
      <c r="AE7" s="2738" t="str">
        <f>'2.Ventas y Cobros (Ej 1º,2º)'!AC8</f>
        <v>Julio</v>
      </c>
      <c r="AF7" s="2738" t="str">
        <f>'2.Ventas y Cobros (Ej 1º,2º)'!AD8</f>
        <v>Agosto</v>
      </c>
      <c r="AG7" s="2738" t="str">
        <f>'2.Ventas y Cobros (Ej 1º,2º)'!AE8</f>
        <v>Septiembre</v>
      </c>
      <c r="AH7" s="2738" t="str">
        <f>'2.Ventas y Cobros (Ej 1º,2º)'!AF8</f>
        <v>Octubre</v>
      </c>
      <c r="AI7" s="2738" t="str">
        <f>'2.Ventas y Cobros (Ej 1º,2º)'!AG8</f>
        <v>Noviembre</v>
      </c>
      <c r="AJ7" s="1826" t="str">
        <f>'2.Ventas y Cobros (Ej 1º,2º)'!AH8</f>
        <v>Diciembre</v>
      </c>
      <c r="AK7" s="1808" t="s">
        <v>16</v>
      </c>
      <c r="AL7" s="302"/>
      <c r="AM7" s="1805" t="s">
        <v>634</v>
      </c>
    </row>
    <row r="8" spans="1:40" s="1" customFormat="1" ht="18" customHeight="1">
      <c r="A8" s="1857" t="str">
        <f>'2.Ventas y Cobros (Ej 1º,2º)'!A9</f>
        <v/>
      </c>
      <c r="B8" s="2701">
        <f>'1.Datos Básicos. Product-Serv'!H24</f>
        <v>0</v>
      </c>
      <c r="C8" s="2757" t="s">
        <v>649</v>
      </c>
      <c r="D8" s="1617">
        <f>'2.Ventas y Cobros (Ej 1º,2º)'!D9*$B$8</f>
        <v>0</v>
      </c>
      <c r="E8" s="2740">
        <f>'2.Ventas y Cobros (Ej 1º,2º)'!E9*$B$8</f>
        <v>0</v>
      </c>
      <c r="F8" s="2740">
        <f>'2.Ventas y Cobros (Ej 1º,2º)'!F9*$B$8</f>
        <v>0</v>
      </c>
      <c r="G8" s="2740">
        <f>'2.Ventas y Cobros (Ej 1º,2º)'!G9*$B$8</f>
        <v>0</v>
      </c>
      <c r="H8" s="2740">
        <f>'2.Ventas y Cobros (Ej 1º,2º)'!H9*$B$8</f>
        <v>0</v>
      </c>
      <c r="I8" s="2740">
        <f>'2.Ventas y Cobros (Ej 1º,2º)'!I9*$B$8</f>
        <v>0</v>
      </c>
      <c r="J8" s="2740">
        <f>'2.Ventas y Cobros (Ej 1º,2º)'!J9*$B$8</f>
        <v>0</v>
      </c>
      <c r="K8" s="2740">
        <f>'2.Ventas y Cobros (Ej 1º,2º)'!K9*$B$8</f>
        <v>0</v>
      </c>
      <c r="L8" s="2740">
        <f>'2.Ventas y Cobros (Ej 1º,2º)'!L9*$B$8</f>
        <v>0</v>
      </c>
      <c r="M8" s="2740">
        <f>'2.Ventas y Cobros (Ej 1º,2º)'!M9*$B$8</f>
        <v>0</v>
      </c>
      <c r="N8" s="2740">
        <f>'2.Ventas y Cobros (Ej 1º,2º)'!N9*$B$8</f>
        <v>0</v>
      </c>
      <c r="O8" s="1617">
        <f>'2.Ventas y Cobros (Ej 1º,2º)'!O9*$B$8</f>
        <v>0</v>
      </c>
      <c r="P8" s="1618">
        <f t="shared" ref="P8:P17" si="0">SUM(D8:O8)</f>
        <v>0</v>
      </c>
      <c r="Q8" s="301"/>
      <c r="R8" s="1642" t="str">
        <f>IF(P16=0,"",P8/$P$16)</f>
        <v/>
      </c>
      <c r="S8" s="301"/>
      <c r="T8" s="1834"/>
      <c r="U8" s="301"/>
      <c r="V8" s="303"/>
      <c r="W8" s="301"/>
      <c r="X8" s="301"/>
      <c r="Y8" s="1947">
        <f>'2.Ventas y Cobros (Ej 1º,2º)'!W9*$B$8</f>
        <v>0</v>
      </c>
      <c r="Z8" s="2740">
        <f>'2.Ventas y Cobros (Ej 1º,2º)'!X9*$B$8</f>
        <v>0</v>
      </c>
      <c r="AA8" s="2740">
        <f>'2.Ventas y Cobros (Ej 1º,2º)'!Y9*$B$8</f>
        <v>0</v>
      </c>
      <c r="AB8" s="2740">
        <f>'2.Ventas y Cobros (Ej 1º,2º)'!Z9*$B$8</f>
        <v>0</v>
      </c>
      <c r="AC8" s="2740">
        <f>'2.Ventas y Cobros (Ej 1º,2º)'!AA9*$B$8</f>
        <v>0</v>
      </c>
      <c r="AD8" s="2740">
        <f>'2.Ventas y Cobros (Ej 1º,2º)'!AB9*$B$8</f>
        <v>0</v>
      </c>
      <c r="AE8" s="2740">
        <f>'2.Ventas y Cobros (Ej 1º,2º)'!AC9*$B$8</f>
        <v>0</v>
      </c>
      <c r="AF8" s="2740">
        <f>'2.Ventas y Cobros (Ej 1º,2º)'!AD9*$B$8</f>
        <v>0</v>
      </c>
      <c r="AG8" s="2740">
        <f>'2.Ventas y Cobros (Ej 1º,2º)'!AE9*$B$8</f>
        <v>0</v>
      </c>
      <c r="AH8" s="2740">
        <f>'2.Ventas y Cobros (Ej 1º,2º)'!AF9*$B$8</f>
        <v>0</v>
      </c>
      <c r="AI8" s="2740">
        <f>'2.Ventas y Cobros (Ej 1º,2º)'!AG9*$B$8</f>
        <v>0</v>
      </c>
      <c r="AJ8" s="1617">
        <f>'2.Ventas y Cobros (Ej 1º,2º)'!AH9*$B$8</f>
        <v>0</v>
      </c>
      <c r="AK8" s="1618">
        <f t="shared" ref="AK8:AK17" si="1">SUM(Y8:AJ8)</f>
        <v>0</v>
      </c>
      <c r="AL8" s="301"/>
      <c r="AM8" s="1642" t="str">
        <f>IF(AK16=0,"",AK8/AK16)</f>
        <v/>
      </c>
    </row>
    <row r="9" spans="1:40" s="1" customFormat="1" ht="18" customHeight="1">
      <c r="A9" s="1857" t="str">
        <f>'2.Ventas y Cobros (Ej 1º,2º)'!A11</f>
        <v/>
      </c>
      <c r="B9" s="2702">
        <f>'1.Datos Básicos. Product-Serv'!H25</f>
        <v>0</v>
      </c>
      <c r="C9" s="2758" t="s">
        <v>649</v>
      </c>
      <c r="D9" s="1616">
        <f>'2.Ventas y Cobros (Ej 1º,2º)'!D11*$B$9</f>
        <v>0</v>
      </c>
      <c r="E9" s="2741">
        <f>'2.Ventas y Cobros (Ej 1º,2º)'!E11*$B$9</f>
        <v>0</v>
      </c>
      <c r="F9" s="2741">
        <f>'2.Ventas y Cobros (Ej 1º,2º)'!F11*$B$9</f>
        <v>0</v>
      </c>
      <c r="G9" s="2741">
        <f>'2.Ventas y Cobros (Ej 1º,2º)'!G11*$B$9</f>
        <v>0</v>
      </c>
      <c r="H9" s="2741">
        <f>'2.Ventas y Cobros (Ej 1º,2º)'!H11*$B$9</f>
        <v>0</v>
      </c>
      <c r="I9" s="2741">
        <f>'2.Ventas y Cobros (Ej 1º,2º)'!I11*$B$9</f>
        <v>0</v>
      </c>
      <c r="J9" s="2741">
        <f>'2.Ventas y Cobros (Ej 1º,2º)'!J11*$B$9</f>
        <v>0</v>
      </c>
      <c r="K9" s="2741">
        <f>'2.Ventas y Cobros (Ej 1º,2º)'!K11*$B$9</f>
        <v>0</v>
      </c>
      <c r="L9" s="2741">
        <f>'2.Ventas y Cobros (Ej 1º,2º)'!L11*$B$9</f>
        <v>0</v>
      </c>
      <c r="M9" s="2741">
        <f>'2.Ventas y Cobros (Ej 1º,2º)'!M11*$B$9</f>
        <v>0</v>
      </c>
      <c r="N9" s="2741">
        <f>'2.Ventas y Cobros (Ej 1º,2º)'!N11*$B$9</f>
        <v>0</v>
      </c>
      <c r="O9" s="1616">
        <f>'2.Ventas y Cobros (Ej 1º,2º)'!O11*$B$9</f>
        <v>0</v>
      </c>
      <c r="P9" s="309">
        <f t="shared" si="0"/>
        <v>0</v>
      </c>
      <c r="Q9" s="301"/>
      <c r="R9" s="1642" t="str">
        <f>IF(P16=0,"",P9/$P$16)</f>
        <v/>
      </c>
      <c r="S9" s="301"/>
      <c r="T9" s="1834"/>
      <c r="U9" s="301"/>
      <c r="V9" s="303"/>
      <c r="W9" s="301"/>
      <c r="X9" s="301"/>
      <c r="Y9" s="1948">
        <f>'2.Ventas y Cobros (Ej 1º,2º)'!W11*$B$9</f>
        <v>0</v>
      </c>
      <c r="Z9" s="2741">
        <f>'2.Ventas y Cobros (Ej 1º,2º)'!X11*$B$9</f>
        <v>0</v>
      </c>
      <c r="AA9" s="2741">
        <f>'2.Ventas y Cobros (Ej 1º,2º)'!Y11*$B$9</f>
        <v>0</v>
      </c>
      <c r="AB9" s="2741">
        <f>'2.Ventas y Cobros (Ej 1º,2º)'!Z11*$B$9</f>
        <v>0</v>
      </c>
      <c r="AC9" s="2741">
        <f>'2.Ventas y Cobros (Ej 1º,2º)'!AA11*$B$9</f>
        <v>0</v>
      </c>
      <c r="AD9" s="2741">
        <f>'2.Ventas y Cobros (Ej 1º,2º)'!AB11*$B$9</f>
        <v>0</v>
      </c>
      <c r="AE9" s="2741">
        <f>'2.Ventas y Cobros (Ej 1º,2º)'!AC11*$B$9</f>
        <v>0</v>
      </c>
      <c r="AF9" s="2741">
        <f>'2.Ventas y Cobros (Ej 1º,2º)'!AD11*$B$9</f>
        <v>0</v>
      </c>
      <c r="AG9" s="2741">
        <f>'2.Ventas y Cobros (Ej 1º,2º)'!AE11*$B$9</f>
        <v>0</v>
      </c>
      <c r="AH9" s="2741">
        <f>'2.Ventas y Cobros (Ej 1º,2º)'!AF11*$B$9</f>
        <v>0</v>
      </c>
      <c r="AI9" s="2741">
        <f>'2.Ventas y Cobros (Ej 1º,2º)'!AG11*$B$9</f>
        <v>0</v>
      </c>
      <c r="AJ9" s="1616">
        <f>'2.Ventas y Cobros (Ej 1º,2º)'!AH11*$B$9</f>
        <v>0</v>
      </c>
      <c r="AK9" s="309">
        <f t="shared" si="1"/>
        <v>0</v>
      </c>
      <c r="AL9" s="301"/>
      <c r="AM9" s="1642" t="str">
        <f>IF(AK16=0,"",AK9/AK16)</f>
        <v/>
      </c>
    </row>
    <row r="10" spans="1:40" s="1" customFormat="1" ht="18" customHeight="1">
      <c r="A10" s="1857" t="str">
        <f>'2.Ventas y Cobros (Ej 1º,2º)'!A13</f>
        <v/>
      </c>
      <c r="B10" s="2702">
        <f>'1.Datos Básicos. Product-Serv'!H26</f>
        <v>0</v>
      </c>
      <c r="C10" s="2758" t="s">
        <v>649</v>
      </c>
      <c r="D10" s="1617">
        <f>'2.Ventas y Cobros (Ej 1º,2º)'!D13*$B$10</f>
        <v>0</v>
      </c>
      <c r="E10" s="2740">
        <f>'2.Ventas y Cobros (Ej 1º,2º)'!E13*$B$10</f>
        <v>0</v>
      </c>
      <c r="F10" s="2740">
        <f>'2.Ventas y Cobros (Ej 1º,2º)'!F13*$B$10</f>
        <v>0</v>
      </c>
      <c r="G10" s="2740">
        <f>'2.Ventas y Cobros (Ej 1º,2º)'!G13*$B$10</f>
        <v>0</v>
      </c>
      <c r="H10" s="2740">
        <f>'2.Ventas y Cobros (Ej 1º,2º)'!H13*$B$10</f>
        <v>0</v>
      </c>
      <c r="I10" s="2740">
        <f>'2.Ventas y Cobros (Ej 1º,2º)'!I13*$B$10</f>
        <v>0</v>
      </c>
      <c r="J10" s="2740">
        <f>'2.Ventas y Cobros (Ej 1º,2º)'!J13*$B$10</f>
        <v>0</v>
      </c>
      <c r="K10" s="2740">
        <f>'2.Ventas y Cobros (Ej 1º,2º)'!K13*$B$10</f>
        <v>0</v>
      </c>
      <c r="L10" s="2740">
        <f>'2.Ventas y Cobros (Ej 1º,2º)'!L13*$B$10</f>
        <v>0</v>
      </c>
      <c r="M10" s="2740">
        <f>'2.Ventas y Cobros (Ej 1º,2º)'!M13*$B$10</f>
        <v>0</v>
      </c>
      <c r="N10" s="2740">
        <f>'2.Ventas y Cobros (Ej 1º,2º)'!N13*$B$10</f>
        <v>0</v>
      </c>
      <c r="O10" s="1617">
        <f>'2.Ventas y Cobros (Ej 1º,2º)'!O13*$B$10</f>
        <v>0</v>
      </c>
      <c r="P10" s="1618">
        <f t="shared" si="0"/>
        <v>0</v>
      </c>
      <c r="Q10" s="301"/>
      <c r="R10" s="1642" t="str">
        <f>IF(P16=0,"",P10/$P$16)</f>
        <v/>
      </c>
      <c r="S10" s="301"/>
      <c r="T10" s="1834"/>
      <c r="U10" s="301"/>
      <c r="V10" s="303"/>
      <c r="W10" s="301"/>
      <c r="X10" s="301"/>
      <c r="Y10" s="1948">
        <f>'2.Ventas y Cobros (Ej 1º,2º)'!W13*$B$10</f>
        <v>0</v>
      </c>
      <c r="Z10" s="2741">
        <f>'2.Ventas y Cobros (Ej 1º,2º)'!X13*$B$10</f>
        <v>0</v>
      </c>
      <c r="AA10" s="2741">
        <f>'2.Ventas y Cobros (Ej 1º,2º)'!Y13*$B$10</f>
        <v>0</v>
      </c>
      <c r="AB10" s="2741">
        <f>'2.Ventas y Cobros (Ej 1º,2º)'!Z13*$B$10</f>
        <v>0</v>
      </c>
      <c r="AC10" s="2741">
        <f>'2.Ventas y Cobros (Ej 1º,2º)'!AA13*$B$10</f>
        <v>0</v>
      </c>
      <c r="AD10" s="2741">
        <f>'2.Ventas y Cobros (Ej 1º,2º)'!AB13*$B$10</f>
        <v>0</v>
      </c>
      <c r="AE10" s="2741">
        <f>'2.Ventas y Cobros (Ej 1º,2º)'!AC13*$B$10</f>
        <v>0</v>
      </c>
      <c r="AF10" s="2741">
        <f>'2.Ventas y Cobros (Ej 1º,2º)'!AD13*$B$10</f>
        <v>0</v>
      </c>
      <c r="AG10" s="2741">
        <f>'2.Ventas y Cobros (Ej 1º,2º)'!AE13*$B$10</f>
        <v>0</v>
      </c>
      <c r="AH10" s="2741">
        <f>'2.Ventas y Cobros (Ej 1º,2º)'!AF13*$B$10</f>
        <v>0</v>
      </c>
      <c r="AI10" s="2741">
        <f>'2.Ventas y Cobros (Ej 1º,2º)'!AG13*$B$10</f>
        <v>0</v>
      </c>
      <c r="AJ10" s="1616">
        <f>'2.Ventas y Cobros (Ej 1º,2º)'!AH13*$B$10</f>
        <v>0</v>
      </c>
      <c r="AK10" s="309">
        <f t="shared" si="1"/>
        <v>0</v>
      </c>
      <c r="AL10" s="301"/>
      <c r="AM10" s="1642" t="str">
        <f>IF(AK16=0,"",AK10/AK16)</f>
        <v/>
      </c>
    </row>
    <row r="11" spans="1:40" s="1" customFormat="1" ht="18" customHeight="1">
      <c r="A11" s="1857" t="str">
        <f>'2.Ventas y Cobros (Ej 1º,2º)'!A15</f>
        <v/>
      </c>
      <c r="B11" s="2702">
        <f>'1.Datos Básicos. Product-Serv'!H27</f>
        <v>0</v>
      </c>
      <c r="C11" s="2758" t="s">
        <v>649</v>
      </c>
      <c r="D11" s="1616">
        <f>'2.Ventas y Cobros (Ej 1º,2º)'!D15*$B$11</f>
        <v>0</v>
      </c>
      <c r="E11" s="2741">
        <f>'2.Ventas y Cobros (Ej 1º,2º)'!E15*$B$11</f>
        <v>0</v>
      </c>
      <c r="F11" s="2741">
        <f>'2.Ventas y Cobros (Ej 1º,2º)'!F15*$B$11</f>
        <v>0</v>
      </c>
      <c r="G11" s="2741">
        <f>'2.Ventas y Cobros (Ej 1º,2º)'!G15*$B$11</f>
        <v>0</v>
      </c>
      <c r="H11" s="2741">
        <f>'2.Ventas y Cobros (Ej 1º,2º)'!H15*$B$11</f>
        <v>0</v>
      </c>
      <c r="I11" s="2741">
        <f>'2.Ventas y Cobros (Ej 1º,2º)'!I15*$B$11</f>
        <v>0</v>
      </c>
      <c r="J11" s="2741">
        <f>'2.Ventas y Cobros (Ej 1º,2º)'!J15*$B$11</f>
        <v>0</v>
      </c>
      <c r="K11" s="2741">
        <f>'2.Ventas y Cobros (Ej 1º,2º)'!K15*$B$11</f>
        <v>0</v>
      </c>
      <c r="L11" s="2741">
        <f>'2.Ventas y Cobros (Ej 1º,2º)'!L15*$B$11</f>
        <v>0</v>
      </c>
      <c r="M11" s="2741">
        <f>'2.Ventas y Cobros (Ej 1º,2º)'!M15*$B$11</f>
        <v>0</v>
      </c>
      <c r="N11" s="2741">
        <f>'2.Ventas y Cobros (Ej 1º,2º)'!N15*$B$11</f>
        <v>0</v>
      </c>
      <c r="O11" s="1616">
        <f>'2.Ventas y Cobros (Ej 1º,2º)'!O15*$B$11</f>
        <v>0</v>
      </c>
      <c r="P11" s="309">
        <f t="shared" si="0"/>
        <v>0</v>
      </c>
      <c r="Q11" s="301"/>
      <c r="R11" s="1642" t="str">
        <f>IF(P16=0,"",P11/$P$16)</f>
        <v/>
      </c>
      <c r="S11" s="301"/>
      <c r="T11" s="1834"/>
      <c r="U11" s="301"/>
      <c r="V11" s="303"/>
      <c r="W11" s="301"/>
      <c r="X11" s="301"/>
      <c r="Y11" s="1948">
        <f>'2.Ventas y Cobros (Ej 1º,2º)'!W15*$B$11</f>
        <v>0</v>
      </c>
      <c r="Z11" s="2741">
        <f>'2.Ventas y Cobros (Ej 1º,2º)'!X15*$B$11</f>
        <v>0</v>
      </c>
      <c r="AA11" s="2741">
        <f>'2.Ventas y Cobros (Ej 1º,2º)'!Y15*$B$11</f>
        <v>0</v>
      </c>
      <c r="AB11" s="2741">
        <f>'2.Ventas y Cobros (Ej 1º,2º)'!Z15*$B$11</f>
        <v>0</v>
      </c>
      <c r="AC11" s="2741">
        <f>'2.Ventas y Cobros (Ej 1º,2º)'!AA15*$B$11</f>
        <v>0</v>
      </c>
      <c r="AD11" s="2741">
        <f>'2.Ventas y Cobros (Ej 1º,2º)'!AB15*$B$11</f>
        <v>0</v>
      </c>
      <c r="AE11" s="2741">
        <f>'2.Ventas y Cobros (Ej 1º,2º)'!AC15*$B$11</f>
        <v>0</v>
      </c>
      <c r="AF11" s="2741">
        <f>'2.Ventas y Cobros (Ej 1º,2º)'!AD15*$B$11</f>
        <v>0</v>
      </c>
      <c r="AG11" s="2741">
        <f>'2.Ventas y Cobros (Ej 1º,2º)'!AE15*$B$11</f>
        <v>0</v>
      </c>
      <c r="AH11" s="2741">
        <f>'2.Ventas y Cobros (Ej 1º,2º)'!AF15*$B$11</f>
        <v>0</v>
      </c>
      <c r="AI11" s="2741">
        <f>'2.Ventas y Cobros (Ej 1º,2º)'!AG15*$B$11</f>
        <v>0</v>
      </c>
      <c r="AJ11" s="1616">
        <f>'2.Ventas y Cobros (Ej 1º,2º)'!AH15*$B$11</f>
        <v>0</v>
      </c>
      <c r="AK11" s="309">
        <f t="shared" si="1"/>
        <v>0</v>
      </c>
      <c r="AL11" s="301"/>
      <c r="AM11" s="1642" t="str">
        <f>IF(AK16=0,"",AK11/AK16)</f>
        <v/>
      </c>
    </row>
    <row r="12" spans="1:40" s="1" customFormat="1" ht="18" customHeight="1">
      <c r="A12" s="1857" t="str">
        <f>'2.Ventas y Cobros (Ej 1º,2º)'!A17</f>
        <v/>
      </c>
      <c r="B12" s="2702">
        <f>'1.Datos Básicos. Product-Serv'!H28</f>
        <v>0</v>
      </c>
      <c r="C12" s="2758" t="s">
        <v>649</v>
      </c>
      <c r="D12" s="1617">
        <f>'2.Ventas y Cobros (Ej 1º,2º)'!D17*$B$12</f>
        <v>0</v>
      </c>
      <c r="E12" s="2740">
        <f>'2.Ventas y Cobros (Ej 1º,2º)'!E17*$B$12</f>
        <v>0</v>
      </c>
      <c r="F12" s="2740">
        <f>'2.Ventas y Cobros (Ej 1º,2º)'!F17*$B$12</f>
        <v>0</v>
      </c>
      <c r="G12" s="2740">
        <f>'2.Ventas y Cobros (Ej 1º,2º)'!G17*$B$12</f>
        <v>0</v>
      </c>
      <c r="H12" s="2740">
        <f>'2.Ventas y Cobros (Ej 1º,2º)'!H17*$B$12</f>
        <v>0</v>
      </c>
      <c r="I12" s="2740">
        <f>'2.Ventas y Cobros (Ej 1º,2º)'!I17*$B$12</f>
        <v>0</v>
      </c>
      <c r="J12" s="2740">
        <f>'2.Ventas y Cobros (Ej 1º,2º)'!J17*$B$12</f>
        <v>0</v>
      </c>
      <c r="K12" s="2740">
        <f>'2.Ventas y Cobros (Ej 1º,2º)'!K17*$B$12</f>
        <v>0</v>
      </c>
      <c r="L12" s="2740">
        <f>'2.Ventas y Cobros (Ej 1º,2º)'!L17*$B$12</f>
        <v>0</v>
      </c>
      <c r="M12" s="2740">
        <f>'2.Ventas y Cobros (Ej 1º,2º)'!M17*$B$12</f>
        <v>0</v>
      </c>
      <c r="N12" s="2740">
        <f>'2.Ventas y Cobros (Ej 1º,2º)'!N17*$B$12</f>
        <v>0</v>
      </c>
      <c r="O12" s="1617">
        <f>'2.Ventas y Cobros (Ej 1º,2º)'!O17*$B$12</f>
        <v>0</v>
      </c>
      <c r="P12" s="1618">
        <f t="shared" si="0"/>
        <v>0</v>
      </c>
      <c r="Q12" s="301"/>
      <c r="R12" s="1642" t="str">
        <f>IF(P16=0,"",P12/$P$16)</f>
        <v/>
      </c>
      <c r="S12" s="301"/>
      <c r="T12" s="1834"/>
      <c r="U12" s="301"/>
      <c r="V12" s="303"/>
      <c r="W12" s="301"/>
      <c r="X12" s="301"/>
      <c r="Y12" s="1948">
        <f>'2.Ventas y Cobros (Ej 1º,2º)'!W17*$B$12</f>
        <v>0</v>
      </c>
      <c r="Z12" s="2741">
        <f>'2.Ventas y Cobros (Ej 1º,2º)'!X17*$B$12</f>
        <v>0</v>
      </c>
      <c r="AA12" s="2741">
        <f>'2.Ventas y Cobros (Ej 1º,2º)'!Y17*$B$12</f>
        <v>0</v>
      </c>
      <c r="AB12" s="2741">
        <f>'2.Ventas y Cobros (Ej 1º,2º)'!Z17*$B$12</f>
        <v>0</v>
      </c>
      <c r="AC12" s="2741">
        <f>'2.Ventas y Cobros (Ej 1º,2º)'!AA17*$B$12</f>
        <v>0</v>
      </c>
      <c r="AD12" s="2741">
        <f>'2.Ventas y Cobros (Ej 1º,2º)'!AB17*$B$12</f>
        <v>0</v>
      </c>
      <c r="AE12" s="2741">
        <f>'2.Ventas y Cobros (Ej 1º,2º)'!AC17*$B$12</f>
        <v>0</v>
      </c>
      <c r="AF12" s="2741">
        <f>'2.Ventas y Cobros (Ej 1º,2º)'!AD17*$B$12</f>
        <v>0</v>
      </c>
      <c r="AG12" s="2741">
        <f>'2.Ventas y Cobros (Ej 1º,2º)'!AE17*$B$12</f>
        <v>0</v>
      </c>
      <c r="AH12" s="2741">
        <f>'2.Ventas y Cobros (Ej 1º,2º)'!AF17*$B$12</f>
        <v>0</v>
      </c>
      <c r="AI12" s="2741">
        <f>'2.Ventas y Cobros (Ej 1º,2º)'!AG17*$B$12</f>
        <v>0</v>
      </c>
      <c r="AJ12" s="1616">
        <f>'2.Ventas y Cobros (Ej 1º,2º)'!AH17*$B$12</f>
        <v>0</v>
      </c>
      <c r="AK12" s="309">
        <f t="shared" si="1"/>
        <v>0</v>
      </c>
      <c r="AL12" s="301"/>
      <c r="AM12" s="1642" t="str">
        <f>IF(AK16=0,"",AK12/AK16)</f>
        <v/>
      </c>
    </row>
    <row r="13" spans="1:40" s="1" customFormat="1" ht="18" customHeight="1">
      <c r="A13" s="1857" t="str">
        <f>'2.Ventas y Cobros (Ej 1º,2º)'!A19</f>
        <v/>
      </c>
      <c r="B13" s="2702">
        <f>'1.Datos Básicos. Product-Serv'!H29</f>
        <v>0</v>
      </c>
      <c r="C13" s="2758" t="s">
        <v>649</v>
      </c>
      <c r="D13" s="1616">
        <f>'2.Ventas y Cobros (Ej 1º,2º)'!D19*$B$13</f>
        <v>0</v>
      </c>
      <c r="E13" s="2741">
        <f>'2.Ventas y Cobros (Ej 1º,2º)'!E19*$B$13</f>
        <v>0</v>
      </c>
      <c r="F13" s="2741">
        <f>'2.Ventas y Cobros (Ej 1º,2º)'!F19*$B$13</f>
        <v>0</v>
      </c>
      <c r="G13" s="2741">
        <f>'2.Ventas y Cobros (Ej 1º,2º)'!G19*$B$13</f>
        <v>0</v>
      </c>
      <c r="H13" s="2741">
        <f>'2.Ventas y Cobros (Ej 1º,2º)'!H19*$B$13</f>
        <v>0</v>
      </c>
      <c r="I13" s="2741">
        <f>'2.Ventas y Cobros (Ej 1º,2º)'!I19*$B$13</f>
        <v>0</v>
      </c>
      <c r="J13" s="2741">
        <f>'2.Ventas y Cobros (Ej 1º,2º)'!J19*$B$13</f>
        <v>0</v>
      </c>
      <c r="K13" s="2741">
        <f>'2.Ventas y Cobros (Ej 1º,2º)'!K19*$B$13</f>
        <v>0</v>
      </c>
      <c r="L13" s="2741">
        <f>'2.Ventas y Cobros (Ej 1º,2º)'!L19*$B$13</f>
        <v>0</v>
      </c>
      <c r="M13" s="2741">
        <f>'2.Ventas y Cobros (Ej 1º,2º)'!M19*$B$13</f>
        <v>0</v>
      </c>
      <c r="N13" s="2741">
        <f>'2.Ventas y Cobros (Ej 1º,2º)'!N19*$B$13</f>
        <v>0</v>
      </c>
      <c r="O13" s="1616">
        <f>'2.Ventas y Cobros (Ej 1º,2º)'!O19*$B$13</f>
        <v>0</v>
      </c>
      <c r="P13" s="309">
        <f t="shared" si="0"/>
        <v>0</v>
      </c>
      <c r="Q13" s="301"/>
      <c r="R13" s="1642" t="str">
        <f>IF(P16=0,"",P13/$P$16)</f>
        <v/>
      </c>
      <c r="S13" s="301"/>
      <c r="T13" s="1834"/>
      <c r="U13" s="301"/>
      <c r="V13" s="303"/>
      <c r="W13" s="301"/>
      <c r="X13" s="301"/>
      <c r="Y13" s="1948">
        <f>'2.Ventas y Cobros (Ej 1º,2º)'!W19*$B$13</f>
        <v>0</v>
      </c>
      <c r="Z13" s="2741">
        <f>'2.Ventas y Cobros (Ej 1º,2º)'!X19*$B$13</f>
        <v>0</v>
      </c>
      <c r="AA13" s="2741">
        <f>'2.Ventas y Cobros (Ej 1º,2º)'!Y19*$B$13</f>
        <v>0</v>
      </c>
      <c r="AB13" s="2741">
        <f>'2.Ventas y Cobros (Ej 1º,2º)'!Z19*$B$13</f>
        <v>0</v>
      </c>
      <c r="AC13" s="2741">
        <f>'2.Ventas y Cobros (Ej 1º,2º)'!AA19*$B$13</f>
        <v>0</v>
      </c>
      <c r="AD13" s="2741">
        <f>'2.Ventas y Cobros (Ej 1º,2º)'!AB19*$B$13</f>
        <v>0</v>
      </c>
      <c r="AE13" s="2741">
        <f>'2.Ventas y Cobros (Ej 1º,2º)'!AC19*$B$13</f>
        <v>0</v>
      </c>
      <c r="AF13" s="2741">
        <f>'2.Ventas y Cobros (Ej 1º,2º)'!AD19*$B$13</f>
        <v>0</v>
      </c>
      <c r="AG13" s="2741">
        <f>'2.Ventas y Cobros (Ej 1º,2º)'!AE19*$B$13</f>
        <v>0</v>
      </c>
      <c r="AH13" s="2741">
        <f>'2.Ventas y Cobros (Ej 1º,2º)'!AF19*$B$13</f>
        <v>0</v>
      </c>
      <c r="AI13" s="2741">
        <f>'2.Ventas y Cobros (Ej 1º,2º)'!AG19*$B$13</f>
        <v>0</v>
      </c>
      <c r="AJ13" s="1616">
        <f>'2.Ventas y Cobros (Ej 1º,2º)'!AH19*$B$13</f>
        <v>0</v>
      </c>
      <c r="AK13" s="309">
        <f t="shared" si="1"/>
        <v>0</v>
      </c>
      <c r="AL13" s="301"/>
      <c r="AM13" s="1642" t="str">
        <f>IF(AK16=0,"",AK13/AK16)</f>
        <v/>
      </c>
    </row>
    <row r="14" spans="1:40" s="1" customFormat="1" ht="18" customHeight="1">
      <c r="A14" s="1857" t="str">
        <f>'2.Ventas y Cobros (Ej 1º,2º)'!A21</f>
        <v/>
      </c>
      <c r="B14" s="2702">
        <f>'1.Datos Básicos. Product-Serv'!H30</f>
        <v>0</v>
      </c>
      <c r="C14" s="2758" t="s">
        <v>649</v>
      </c>
      <c r="D14" s="1617">
        <f>'2.Ventas y Cobros (Ej 1º,2º)'!D21*$B$14</f>
        <v>0</v>
      </c>
      <c r="E14" s="2740">
        <f>'2.Ventas y Cobros (Ej 1º,2º)'!E21*$B$14</f>
        <v>0</v>
      </c>
      <c r="F14" s="2740">
        <f>'2.Ventas y Cobros (Ej 1º,2º)'!F21*$B$14</f>
        <v>0</v>
      </c>
      <c r="G14" s="2740">
        <f>'2.Ventas y Cobros (Ej 1º,2º)'!G21*$B$14</f>
        <v>0</v>
      </c>
      <c r="H14" s="2740">
        <f>'2.Ventas y Cobros (Ej 1º,2º)'!H21*$B$14</f>
        <v>0</v>
      </c>
      <c r="I14" s="2740">
        <f>'2.Ventas y Cobros (Ej 1º,2º)'!I21*$B$14</f>
        <v>0</v>
      </c>
      <c r="J14" s="2740">
        <f>'2.Ventas y Cobros (Ej 1º,2º)'!J21*$B$14</f>
        <v>0</v>
      </c>
      <c r="K14" s="2740">
        <f>'2.Ventas y Cobros (Ej 1º,2º)'!K21*$B$14</f>
        <v>0</v>
      </c>
      <c r="L14" s="2740">
        <f>'2.Ventas y Cobros (Ej 1º,2º)'!L21*$B$14</f>
        <v>0</v>
      </c>
      <c r="M14" s="2740">
        <f>'2.Ventas y Cobros (Ej 1º,2º)'!M21*$B$14</f>
        <v>0</v>
      </c>
      <c r="N14" s="2740">
        <f>'2.Ventas y Cobros (Ej 1º,2º)'!N21*$B$14</f>
        <v>0</v>
      </c>
      <c r="O14" s="1617">
        <f>'2.Ventas y Cobros (Ej 1º,2º)'!O21*$B$14</f>
        <v>0</v>
      </c>
      <c r="P14" s="1618">
        <f t="shared" si="0"/>
        <v>0</v>
      </c>
      <c r="Q14" s="301"/>
      <c r="R14" s="1642" t="str">
        <f>IF(P16=0,"",P14/$P$16)</f>
        <v/>
      </c>
      <c r="S14" s="301"/>
      <c r="T14" s="1834"/>
      <c r="U14" s="301"/>
      <c r="V14" s="303"/>
      <c r="W14" s="301"/>
      <c r="X14" s="301"/>
      <c r="Y14" s="1948">
        <f>'2.Ventas y Cobros (Ej 1º,2º)'!W21*$B$14</f>
        <v>0</v>
      </c>
      <c r="Z14" s="2741">
        <f>'2.Ventas y Cobros (Ej 1º,2º)'!X21*$B$14</f>
        <v>0</v>
      </c>
      <c r="AA14" s="2741">
        <f>'2.Ventas y Cobros (Ej 1º,2º)'!Y21*$B$14</f>
        <v>0</v>
      </c>
      <c r="AB14" s="2741">
        <f>'2.Ventas y Cobros (Ej 1º,2º)'!Z21*$B$14</f>
        <v>0</v>
      </c>
      <c r="AC14" s="2741">
        <f>'2.Ventas y Cobros (Ej 1º,2º)'!AA21*$B$14</f>
        <v>0</v>
      </c>
      <c r="AD14" s="2741">
        <f>'2.Ventas y Cobros (Ej 1º,2º)'!AB21*$B$14</f>
        <v>0</v>
      </c>
      <c r="AE14" s="2741">
        <f>'2.Ventas y Cobros (Ej 1º,2º)'!AC21*$B$14</f>
        <v>0</v>
      </c>
      <c r="AF14" s="2741">
        <f>'2.Ventas y Cobros (Ej 1º,2º)'!AD21*$B$14</f>
        <v>0</v>
      </c>
      <c r="AG14" s="2741">
        <f>'2.Ventas y Cobros (Ej 1º,2º)'!AE21*$B$14</f>
        <v>0</v>
      </c>
      <c r="AH14" s="2741">
        <f>'2.Ventas y Cobros (Ej 1º,2º)'!AF21*$B$14</f>
        <v>0</v>
      </c>
      <c r="AI14" s="2741">
        <f>'2.Ventas y Cobros (Ej 1º,2º)'!AG21*$B$14</f>
        <v>0</v>
      </c>
      <c r="AJ14" s="1616">
        <f>'2.Ventas y Cobros (Ej 1º,2º)'!AH21*$B$14</f>
        <v>0</v>
      </c>
      <c r="AK14" s="309">
        <f t="shared" si="1"/>
        <v>0</v>
      </c>
      <c r="AL14" s="301"/>
      <c r="AM14" s="1642" t="str">
        <f>IF(AK16=0,"",AK14/AK16)</f>
        <v/>
      </c>
    </row>
    <row r="15" spans="1:40" s="1" customFormat="1" ht="18" customHeight="1" thickBot="1">
      <c r="A15" s="1857" t="str">
        <f>'2.Ventas y Cobros (Ej 1º,2º)'!A23</f>
        <v/>
      </c>
      <c r="B15" s="2702">
        <f>'1.Datos Básicos. Product-Serv'!H31</f>
        <v>0</v>
      </c>
      <c r="C15" s="2759" t="s">
        <v>649</v>
      </c>
      <c r="D15" s="1616">
        <f>'2.Ventas y Cobros (Ej 1º,2º)'!D23*$B$15</f>
        <v>0</v>
      </c>
      <c r="E15" s="2741">
        <f>'2.Ventas y Cobros (Ej 1º,2º)'!E23*$B$15</f>
        <v>0</v>
      </c>
      <c r="F15" s="2741">
        <f>'2.Ventas y Cobros (Ej 1º,2º)'!F23*$B$15</f>
        <v>0</v>
      </c>
      <c r="G15" s="2741">
        <f>'2.Ventas y Cobros (Ej 1º,2º)'!G23*$B$15</f>
        <v>0</v>
      </c>
      <c r="H15" s="2741">
        <f>'2.Ventas y Cobros (Ej 1º,2º)'!H23*$B$15</f>
        <v>0</v>
      </c>
      <c r="I15" s="2741">
        <f>'2.Ventas y Cobros (Ej 1º,2º)'!I23*$B$15</f>
        <v>0</v>
      </c>
      <c r="J15" s="2741">
        <f>'2.Ventas y Cobros (Ej 1º,2º)'!J23*$B$15</f>
        <v>0</v>
      </c>
      <c r="K15" s="2741">
        <f>'2.Ventas y Cobros (Ej 1º,2º)'!K23*$B$15</f>
        <v>0</v>
      </c>
      <c r="L15" s="2741">
        <f>'2.Ventas y Cobros (Ej 1º,2º)'!L23*$B$15</f>
        <v>0</v>
      </c>
      <c r="M15" s="2741">
        <f>'2.Ventas y Cobros (Ej 1º,2º)'!M23*$B$15</f>
        <v>0</v>
      </c>
      <c r="N15" s="2741">
        <f>'2.Ventas y Cobros (Ej 1º,2º)'!N23*$B$15</f>
        <v>0</v>
      </c>
      <c r="O15" s="1616">
        <f>'2.Ventas y Cobros (Ej 1º,2º)'!O23*$B$15</f>
        <v>0</v>
      </c>
      <c r="P15" s="309">
        <f t="shared" si="0"/>
        <v>0</v>
      </c>
      <c r="Q15" s="301"/>
      <c r="R15" s="1642" t="str">
        <f>IF(P16=0,"",P15/$P$16)</f>
        <v/>
      </c>
      <c r="S15" s="301"/>
      <c r="T15" s="1834"/>
      <c r="U15" s="301"/>
      <c r="V15" s="303"/>
      <c r="W15" s="301"/>
      <c r="X15" s="301"/>
      <c r="Y15" s="1948">
        <f>'2.Ventas y Cobros (Ej 1º,2º)'!W23*$B$15</f>
        <v>0</v>
      </c>
      <c r="Z15" s="2741">
        <f>'2.Ventas y Cobros (Ej 1º,2º)'!X23*$B$15</f>
        <v>0</v>
      </c>
      <c r="AA15" s="2741">
        <f>'2.Ventas y Cobros (Ej 1º,2º)'!Y23*$B$15</f>
        <v>0</v>
      </c>
      <c r="AB15" s="2741">
        <f>'2.Ventas y Cobros (Ej 1º,2º)'!Z23*$B$15</f>
        <v>0</v>
      </c>
      <c r="AC15" s="2741">
        <f>'2.Ventas y Cobros (Ej 1º,2º)'!AA23*$B$15</f>
        <v>0</v>
      </c>
      <c r="AD15" s="2741">
        <f>'2.Ventas y Cobros (Ej 1º,2º)'!AB23*$B$15</f>
        <v>0</v>
      </c>
      <c r="AE15" s="2741">
        <f>'2.Ventas y Cobros (Ej 1º,2º)'!AC23*$B$15</f>
        <v>0</v>
      </c>
      <c r="AF15" s="2741">
        <f>'2.Ventas y Cobros (Ej 1º,2º)'!AD23*$B$15</f>
        <v>0</v>
      </c>
      <c r="AG15" s="2741">
        <f>'2.Ventas y Cobros (Ej 1º,2º)'!AE23*$B$15</f>
        <v>0</v>
      </c>
      <c r="AH15" s="2741">
        <f>'2.Ventas y Cobros (Ej 1º,2º)'!AF23*$B$15</f>
        <v>0</v>
      </c>
      <c r="AI15" s="2741">
        <f>'2.Ventas y Cobros (Ej 1º,2º)'!AG23*$B$15</f>
        <v>0</v>
      </c>
      <c r="AJ15" s="1616">
        <f>'2.Ventas y Cobros (Ej 1º,2º)'!AH23*$B$15</f>
        <v>0</v>
      </c>
      <c r="AK15" s="309">
        <f t="shared" si="1"/>
        <v>0</v>
      </c>
      <c r="AL15" s="301"/>
      <c r="AM15" s="1642" t="str">
        <f>IF(AK16=0,"",AK15/AK16)</f>
        <v/>
      </c>
    </row>
    <row r="16" spans="1:40" s="1750" customFormat="1" ht="22.5" customHeight="1" thickTop="1" thickBot="1">
      <c r="A16" s="3479" t="s">
        <v>639</v>
      </c>
      <c r="B16" s="3480"/>
      <c r="C16" s="3484"/>
      <c r="D16" s="1746">
        <f t="shared" ref="D16:O16" si="2">SUM(D8+D9+D10+D11+D12+D13+D14+D15)</f>
        <v>0</v>
      </c>
      <c r="E16" s="2742">
        <f t="shared" si="2"/>
        <v>0</v>
      </c>
      <c r="F16" s="2742">
        <f t="shared" si="2"/>
        <v>0</v>
      </c>
      <c r="G16" s="2742">
        <f t="shared" si="2"/>
        <v>0</v>
      </c>
      <c r="H16" s="2742">
        <f t="shared" si="2"/>
        <v>0</v>
      </c>
      <c r="I16" s="2742">
        <f t="shared" si="2"/>
        <v>0</v>
      </c>
      <c r="J16" s="2742">
        <f t="shared" si="2"/>
        <v>0</v>
      </c>
      <c r="K16" s="2742">
        <f t="shared" si="2"/>
        <v>0</v>
      </c>
      <c r="L16" s="2742">
        <f t="shared" si="2"/>
        <v>0</v>
      </c>
      <c r="M16" s="2742">
        <f t="shared" si="2"/>
        <v>0</v>
      </c>
      <c r="N16" s="2742">
        <f t="shared" si="2"/>
        <v>0</v>
      </c>
      <c r="O16" s="1746">
        <f t="shared" si="2"/>
        <v>0</v>
      </c>
      <c r="P16" s="1747">
        <f t="shared" si="0"/>
        <v>0</v>
      </c>
      <c r="Q16" s="1748"/>
      <c r="R16" s="1641">
        <f>SUM(R8:R15)</f>
        <v>0</v>
      </c>
      <c r="S16" s="1748"/>
      <c r="T16" s="2049"/>
      <c r="U16" s="1748"/>
      <c r="V16" s="1748"/>
      <c r="W16" s="1748"/>
      <c r="X16" s="1748"/>
      <c r="Y16" s="1749">
        <f t="shared" ref="Y16:AJ16" si="3">SUM(Y8+Y9+Y10+Y11+Y12+Y13+Y14+Y15)</f>
        <v>0</v>
      </c>
      <c r="Z16" s="2742">
        <f t="shared" si="3"/>
        <v>0</v>
      </c>
      <c r="AA16" s="2742">
        <f t="shared" si="3"/>
        <v>0</v>
      </c>
      <c r="AB16" s="2742">
        <f t="shared" si="3"/>
        <v>0</v>
      </c>
      <c r="AC16" s="2742">
        <f t="shared" si="3"/>
        <v>0</v>
      </c>
      <c r="AD16" s="2742">
        <f t="shared" si="3"/>
        <v>0</v>
      </c>
      <c r="AE16" s="2742">
        <f t="shared" si="3"/>
        <v>0</v>
      </c>
      <c r="AF16" s="2742">
        <f t="shared" si="3"/>
        <v>0</v>
      </c>
      <c r="AG16" s="2742">
        <f t="shared" si="3"/>
        <v>0</v>
      </c>
      <c r="AH16" s="2742">
        <f t="shared" si="3"/>
        <v>0</v>
      </c>
      <c r="AI16" s="2742">
        <f t="shared" si="3"/>
        <v>0</v>
      </c>
      <c r="AJ16" s="1746">
        <f t="shared" si="3"/>
        <v>0</v>
      </c>
      <c r="AK16" s="1747">
        <f t="shared" si="1"/>
        <v>0</v>
      </c>
      <c r="AL16" s="1128"/>
      <c r="AM16" s="1641">
        <f>SUM(AM8:AM15)</f>
        <v>0</v>
      </c>
    </row>
    <row r="17" spans="1:39" s="1" customFormat="1" ht="23.25" hidden="1" customHeight="1" thickTop="1" thickBot="1">
      <c r="A17" s="3485" t="s">
        <v>238</v>
      </c>
      <c r="B17" s="3486"/>
      <c r="C17" s="3487"/>
      <c r="D17" s="304">
        <f>D8*'1.Datos Básicos. Product-Serv'!$I$24+D9*'1.Datos Básicos. Product-Serv'!$I$25+D10*'1.Datos Básicos. Product-Serv'!$I$26+D11*'1.Datos Básicos. Product-Serv'!$I$27+D12*'1.Datos Básicos. Product-Serv'!$I$28+D13*'1.Datos Básicos. Product-Serv'!$I$29+D14*'1.Datos Básicos. Product-Serv'!$I$30+D15*'1.Datos Básicos. Product-Serv'!$I$31</f>
        <v>0</v>
      </c>
      <c r="E17" s="304">
        <f>E8*'1.Datos Básicos. Product-Serv'!$I$24+E9*'1.Datos Básicos. Product-Serv'!$I$25+E10*'1.Datos Básicos. Product-Serv'!$I$26+E11*'1.Datos Básicos. Product-Serv'!$I$27+E12*'1.Datos Básicos. Product-Serv'!$I$28+E13*'1.Datos Básicos. Product-Serv'!$I$29+E14*'1.Datos Básicos. Product-Serv'!$I$30+E15*'1.Datos Básicos. Product-Serv'!$I$31</f>
        <v>0</v>
      </c>
      <c r="F17" s="304">
        <f>F8*'1.Datos Básicos. Product-Serv'!$I$24+F9*'1.Datos Básicos. Product-Serv'!$I$25+F10*'1.Datos Básicos. Product-Serv'!$I$26+F11*'1.Datos Básicos. Product-Serv'!$I$27+F12*'1.Datos Básicos. Product-Serv'!$I$28+F13*'1.Datos Básicos. Product-Serv'!$I$29+F14*'1.Datos Básicos. Product-Serv'!$I$30+F15*'1.Datos Básicos. Product-Serv'!$I$31</f>
        <v>0</v>
      </c>
      <c r="G17" s="304">
        <f>G8*'1.Datos Básicos. Product-Serv'!$I$24+G9*'1.Datos Básicos. Product-Serv'!$I$25+G10*'1.Datos Básicos. Product-Serv'!$I$26+G11*'1.Datos Básicos. Product-Serv'!$I$27+G12*'1.Datos Básicos. Product-Serv'!$I$28+G13*'1.Datos Básicos. Product-Serv'!$I$29+G14*'1.Datos Básicos. Product-Serv'!$I$30+G15*'1.Datos Básicos. Product-Serv'!$I$31</f>
        <v>0</v>
      </c>
      <c r="H17" s="304">
        <f>H8*'1.Datos Básicos. Product-Serv'!$I$24+H9*'1.Datos Básicos. Product-Serv'!$I$25+H10*'1.Datos Básicos. Product-Serv'!$I$26+H11*'1.Datos Básicos. Product-Serv'!$I$27+H12*'1.Datos Básicos. Product-Serv'!$I$28+H13*'1.Datos Básicos. Product-Serv'!$I$29+H14*'1.Datos Básicos. Product-Serv'!$I$30+H15*'1.Datos Básicos. Product-Serv'!$I$31</f>
        <v>0</v>
      </c>
      <c r="I17" s="304">
        <f>I8*'1.Datos Básicos. Product-Serv'!$I$24+I9*'1.Datos Básicos. Product-Serv'!$I$25+I10*'1.Datos Básicos. Product-Serv'!$I$26+I11*'1.Datos Básicos. Product-Serv'!$I$27+I12*'1.Datos Básicos. Product-Serv'!$I$28+I13*'1.Datos Básicos. Product-Serv'!$I$29+I14*'1.Datos Básicos. Product-Serv'!$I$30+I15*'1.Datos Básicos. Product-Serv'!$I$31</f>
        <v>0</v>
      </c>
      <c r="J17" s="304">
        <f>J8*'1.Datos Básicos. Product-Serv'!$I$24+J9*'1.Datos Básicos. Product-Serv'!$I$25+J10*'1.Datos Básicos. Product-Serv'!$I$26+J11*'1.Datos Básicos. Product-Serv'!$I$27+J12*'1.Datos Básicos. Product-Serv'!$I$28+J13*'1.Datos Básicos. Product-Serv'!$I$29+J14*'1.Datos Básicos. Product-Serv'!$I$30+J15*'1.Datos Básicos. Product-Serv'!$I$31</f>
        <v>0</v>
      </c>
      <c r="K17" s="304">
        <f>K8*'1.Datos Básicos. Product-Serv'!$I$24+K9*'1.Datos Básicos. Product-Serv'!$I$25+K10*'1.Datos Básicos. Product-Serv'!$I$26+K11*'1.Datos Básicos. Product-Serv'!$I$27+K12*'1.Datos Básicos. Product-Serv'!$I$28+K13*'1.Datos Básicos. Product-Serv'!$I$29+K14*'1.Datos Básicos. Product-Serv'!$I$30+K15*'1.Datos Básicos. Product-Serv'!$I$31</f>
        <v>0</v>
      </c>
      <c r="L17" s="304">
        <f>L8*'1.Datos Básicos. Product-Serv'!$I$24+L9*'1.Datos Básicos. Product-Serv'!$I$25+L10*'1.Datos Básicos. Product-Serv'!$I$26+L11*'1.Datos Básicos. Product-Serv'!$I$27+L12*'1.Datos Básicos. Product-Serv'!$I$28+L13*'1.Datos Básicos. Product-Serv'!$I$29+L14*'1.Datos Básicos. Product-Serv'!$I$30+L15*'1.Datos Básicos. Product-Serv'!$I$31</f>
        <v>0</v>
      </c>
      <c r="M17" s="304">
        <f>M8*'1.Datos Básicos. Product-Serv'!$I$24+M9*'1.Datos Básicos. Product-Serv'!$I$25+M10*'1.Datos Básicos. Product-Serv'!$I$26+M11*'1.Datos Básicos. Product-Serv'!$I$27+M12*'1.Datos Básicos. Product-Serv'!$I$28+M13*'1.Datos Básicos. Product-Serv'!$I$29+M14*'1.Datos Básicos. Product-Serv'!$I$30+M15*'1.Datos Básicos. Product-Serv'!$I$31</f>
        <v>0</v>
      </c>
      <c r="N17" s="304">
        <f>N8*'1.Datos Básicos. Product-Serv'!$I$24+N9*'1.Datos Básicos. Product-Serv'!$I$25+N10*'1.Datos Básicos. Product-Serv'!$I$26+N11*'1.Datos Básicos. Product-Serv'!$I$27+N12*'1.Datos Básicos. Product-Serv'!$I$28+N13*'1.Datos Básicos. Product-Serv'!$I$29+N14*'1.Datos Básicos. Product-Serv'!$I$30+N15*'1.Datos Básicos. Product-Serv'!$I$31</f>
        <v>0</v>
      </c>
      <c r="O17" s="304">
        <f>O8*'1.Datos Básicos. Product-Serv'!$I$24+O9*'1.Datos Básicos. Product-Serv'!$I$25+O10*'1.Datos Básicos. Product-Serv'!$I$26+O11*'1.Datos Básicos. Product-Serv'!$I$27+O12*'1.Datos Básicos. Product-Serv'!$I$28+O13*'1.Datos Básicos. Product-Serv'!$I$29+O14*'1.Datos Básicos. Product-Serv'!$I$30+O15*'1.Datos Básicos. Product-Serv'!$I$31</f>
        <v>0</v>
      </c>
      <c r="P17" s="305">
        <f t="shared" si="0"/>
        <v>0</v>
      </c>
      <c r="Q17" s="1627">
        <f>IF(P16=0,0,P17/P16)</f>
        <v>0</v>
      </c>
      <c r="R17" s="1635"/>
      <c r="S17" s="1635"/>
      <c r="T17" s="2050"/>
      <c r="U17" s="306" t="s">
        <v>199</v>
      </c>
      <c r="V17" s="301"/>
      <c r="W17" s="301"/>
      <c r="X17" s="301"/>
      <c r="Y17" s="1119">
        <f>Y8*'1.Datos Básicos. Product-Serv'!$I$24+Y9*'1.Datos Básicos. Product-Serv'!$I$25+Y10*'1.Datos Básicos. Product-Serv'!$I$26+Y11*'1.Datos Básicos. Product-Serv'!$I$27+Y12*'1.Datos Básicos. Product-Serv'!$I$28+Y13*'1.Datos Básicos. Product-Serv'!$I$29+Y14*'1.Datos Básicos. Product-Serv'!$I$30+Y15*'1.Datos Básicos. Product-Serv'!$I$31</f>
        <v>0</v>
      </c>
      <c r="Z17" s="304">
        <f>Z8*'1.Datos Básicos. Product-Serv'!$I$24+Z9*'1.Datos Básicos. Product-Serv'!$I$25+Z10*'1.Datos Básicos. Product-Serv'!$I$26+Z11*'1.Datos Básicos. Product-Serv'!$I$27+Z12*'1.Datos Básicos. Product-Serv'!$I$28+Z13*'1.Datos Básicos. Product-Serv'!$I$29+Z14*'1.Datos Básicos. Product-Serv'!$I$30+Z15*'1.Datos Básicos. Product-Serv'!$I$31</f>
        <v>0</v>
      </c>
      <c r="AA17" s="304">
        <f>AA8*'1.Datos Básicos. Product-Serv'!$I$24+AA9*'1.Datos Básicos. Product-Serv'!$I$25+AA10*'1.Datos Básicos. Product-Serv'!$I$26+AA11*'1.Datos Básicos. Product-Serv'!$I$27+AA12*'1.Datos Básicos. Product-Serv'!$I$28+AA13*'1.Datos Básicos. Product-Serv'!$I$29+AA14*'1.Datos Básicos. Product-Serv'!$I$30+AA15*'1.Datos Básicos. Product-Serv'!$I$31</f>
        <v>0</v>
      </c>
      <c r="AB17" s="304">
        <f>AB8*'1.Datos Básicos. Product-Serv'!$I$24+AB9*'1.Datos Básicos. Product-Serv'!$I$25+AB10*'1.Datos Básicos. Product-Serv'!$I$26+AB11*'1.Datos Básicos. Product-Serv'!$I$27+AB12*'1.Datos Básicos. Product-Serv'!$I$28+AB13*'1.Datos Básicos. Product-Serv'!$I$29+AB14*'1.Datos Básicos. Product-Serv'!$I$30+AB15*'1.Datos Básicos. Product-Serv'!$I$31</f>
        <v>0</v>
      </c>
      <c r="AC17" s="304">
        <f>AC8*'1.Datos Básicos. Product-Serv'!$I$24+AC9*'1.Datos Básicos. Product-Serv'!$I$25+AC10*'1.Datos Básicos. Product-Serv'!$I$26+AC11*'1.Datos Básicos. Product-Serv'!$I$27+AC12*'1.Datos Básicos. Product-Serv'!$I$28+AC13*'1.Datos Básicos. Product-Serv'!$I$29+AC14*'1.Datos Básicos. Product-Serv'!$I$30+AC15*'1.Datos Básicos. Product-Serv'!$I$31</f>
        <v>0</v>
      </c>
      <c r="AD17" s="304">
        <f>AD8*'1.Datos Básicos. Product-Serv'!$I$24+AD9*'1.Datos Básicos. Product-Serv'!$I$25+AD10*'1.Datos Básicos. Product-Serv'!$I$26+AD11*'1.Datos Básicos. Product-Serv'!$I$27+AD12*'1.Datos Básicos. Product-Serv'!$I$28+AD13*'1.Datos Básicos. Product-Serv'!$I$29+AD14*'1.Datos Básicos. Product-Serv'!$I$30+AD15*'1.Datos Básicos. Product-Serv'!$I$31</f>
        <v>0</v>
      </c>
      <c r="AE17" s="304">
        <f>AE8*'1.Datos Básicos. Product-Serv'!$I$24+AE9*'1.Datos Básicos. Product-Serv'!$I$25+AE10*'1.Datos Básicos. Product-Serv'!$I$26+AE11*'1.Datos Básicos. Product-Serv'!$I$27+AE12*'1.Datos Básicos. Product-Serv'!$I$28+AE13*'1.Datos Básicos. Product-Serv'!$I$29+AE14*'1.Datos Básicos. Product-Serv'!$I$30+AE15*'1.Datos Básicos. Product-Serv'!$I$31</f>
        <v>0</v>
      </c>
      <c r="AF17" s="304">
        <f>AF8*'1.Datos Básicos. Product-Serv'!$I$24+AF9*'1.Datos Básicos. Product-Serv'!$I$25+AF10*'1.Datos Básicos. Product-Serv'!$I$26+AF11*'1.Datos Básicos. Product-Serv'!$I$27+AF12*'1.Datos Básicos. Product-Serv'!$I$28+AF13*'1.Datos Básicos. Product-Serv'!$I$29+AF14*'1.Datos Básicos. Product-Serv'!$I$30+AF15*'1.Datos Básicos. Product-Serv'!$I$31</f>
        <v>0</v>
      </c>
      <c r="AG17" s="304">
        <f>AG8*'1.Datos Básicos. Product-Serv'!$I$24+AG9*'1.Datos Básicos. Product-Serv'!$I$25+AG10*'1.Datos Básicos. Product-Serv'!$I$26+AG11*'1.Datos Básicos. Product-Serv'!$I$27+AG12*'1.Datos Básicos. Product-Serv'!$I$28+AG13*'1.Datos Básicos. Product-Serv'!$I$29+AG14*'1.Datos Básicos. Product-Serv'!$I$30+AG15*'1.Datos Básicos. Product-Serv'!$I$31</f>
        <v>0</v>
      </c>
      <c r="AH17" s="304">
        <f>AH8*'1.Datos Básicos. Product-Serv'!$I$24+AH9*'1.Datos Básicos. Product-Serv'!$I$25+AH10*'1.Datos Básicos. Product-Serv'!$I$26+AH11*'1.Datos Básicos. Product-Serv'!$I$27+AH12*'1.Datos Básicos. Product-Serv'!$I$28+AH13*'1.Datos Básicos. Product-Serv'!$I$29+AH14*'1.Datos Básicos. Product-Serv'!$I$30+AH15*'1.Datos Básicos. Product-Serv'!$I$31</f>
        <v>0</v>
      </c>
      <c r="AI17" s="304">
        <f>AI8*'1.Datos Básicos. Product-Serv'!$I$24+AI9*'1.Datos Básicos. Product-Serv'!$I$25+AI10*'1.Datos Básicos. Product-Serv'!$I$26+AI11*'1.Datos Básicos. Product-Serv'!$I$27+AI12*'1.Datos Básicos. Product-Serv'!$I$28+AI13*'1.Datos Básicos. Product-Serv'!$I$29+AI14*'1.Datos Básicos. Product-Serv'!$I$30+AI15*'1.Datos Básicos. Product-Serv'!$I$31</f>
        <v>0</v>
      </c>
      <c r="AJ17" s="304">
        <f>AJ8*'1.Datos Básicos. Product-Serv'!$I$24+AJ9*'1.Datos Básicos. Product-Serv'!$I$25+AJ10*'1.Datos Básicos. Product-Serv'!$I$26+AJ11*'1.Datos Básicos. Product-Serv'!$I$27+AJ12*'1.Datos Básicos. Product-Serv'!$I$28+AJ13*'1.Datos Básicos. Product-Serv'!$I$29+AJ14*'1.Datos Básicos. Product-Serv'!$I$30+AJ15*'1.Datos Básicos. Product-Serv'!$I$31</f>
        <v>0</v>
      </c>
      <c r="AK17" s="305">
        <f t="shared" si="1"/>
        <v>0</v>
      </c>
      <c r="AL17" s="807"/>
      <c r="AM17" s="1083"/>
    </row>
    <row r="18" spans="1:39" s="1" customFormat="1" ht="19.5" customHeight="1" thickTop="1">
      <c r="A18" s="1621"/>
      <c r="B18" s="1621"/>
      <c r="C18" s="1621"/>
      <c r="D18" s="1620"/>
      <c r="E18" s="1620"/>
      <c r="F18" s="1620"/>
      <c r="G18" s="1620"/>
      <c r="H18" s="1620"/>
      <c r="I18" s="1620"/>
      <c r="J18" s="1620"/>
      <c r="K18" s="1620"/>
      <c r="L18" s="1620"/>
      <c r="M18" s="1620"/>
      <c r="N18" s="1620"/>
      <c r="O18" s="1620"/>
      <c r="P18" s="1620"/>
      <c r="Q18" s="1635"/>
      <c r="R18" s="1635"/>
      <c r="S18" s="1635"/>
      <c r="T18" s="2050"/>
      <c r="U18" s="306"/>
      <c r="V18" s="301"/>
      <c r="W18" s="301"/>
      <c r="X18" s="301"/>
      <c r="Y18" s="1620"/>
      <c r="Z18" s="1620"/>
      <c r="AA18" s="1620"/>
      <c r="AB18" s="1620"/>
      <c r="AC18" s="1620"/>
      <c r="AD18" s="1620"/>
      <c r="AE18" s="1620"/>
      <c r="AF18" s="1620"/>
      <c r="AG18" s="1620"/>
      <c r="AH18" s="1620"/>
      <c r="AI18" s="1620"/>
      <c r="AJ18" s="1620"/>
      <c r="AK18" s="1620"/>
      <c r="AL18" s="807"/>
      <c r="AM18" s="1083"/>
    </row>
    <row r="19" spans="1:39" s="1" customFormat="1" ht="19.5" customHeight="1">
      <c r="A19" s="683"/>
      <c r="B19" s="683"/>
      <c r="C19" s="683"/>
      <c r="D19" s="311"/>
      <c r="E19" s="311"/>
      <c r="F19" s="311"/>
      <c r="G19" s="311"/>
      <c r="H19" s="311"/>
      <c r="I19" s="311"/>
      <c r="J19" s="311"/>
      <c r="K19" s="311"/>
      <c r="L19" s="311"/>
      <c r="M19" s="311"/>
      <c r="N19" s="311"/>
      <c r="O19" s="311"/>
      <c r="P19" s="311"/>
      <c r="Q19" s="1635"/>
      <c r="R19" s="1635"/>
      <c r="S19" s="1635"/>
      <c r="T19" s="2050"/>
      <c r="U19" s="306"/>
      <c r="V19" s="301"/>
      <c r="W19" s="301"/>
      <c r="X19" s="301"/>
      <c r="Y19" s="311"/>
      <c r="Z19" s="311"/>
      <c r="AA19" s="311"/>
      <c r="AB19" s="311"/>
      <c r="AC19" s="311"/>
      <c r="AD19" s="311"/>
      <c r="AE19" s="311"/>
      <c r="AF19" s="311"/>
      <c r="AG19" s="311"/>
      <c r="AH19" s="311"/>
      <c r="AI19" s="311"/>
      <c r="AJ19" s="311"/>
      <c r="AK19" s="311"/>
      <c r="AL19" s="807"/>
      <c r="AM19" s="1083"/>
    </row>
    <row r="20" spans="1:39" ht="18.75" customHeight="1"/>
    <row r="21" spans="1:39" s="1" customFormat="1" ht="32.25" customHeight="1">
      <c r="A21" s="683"/>
      <c r="B21" s="683"/>
      <c r="C21" s="3350" t="s">
        <v>825</v>
      </c>
      <c r="D21" s="3347"/>
      <c r="E21" s="3347"/>
      <c r="F21" s="3347"/>
      <c r="G21" s="3347"/>
      <c r="H21" s="3347"/>
      <c r="I21" s="3347"/>
      <c r="J21" s="3347"/>
      <c r="K21" s="3347"/>
      <c r="L21" s="3347"/>
      <c r="M21" s="3347"/>
      <c r="N21" s="3347"/>
      <c r="O21" s="3347"/>
      <c r="P21" s="885"/>
      <c r="Q21" s="1635"/>
      <c r="R21" s="1635"/>
      <c r="S21" s="1635"/>
      <c r="T21" s="2050"/>
      <c r="U21" s="306"/>
      <c r="V21" s="301"/>
      <c r="W21" s="301"/>
      <c r="X21" s="301"/>
      <c r="Y21" s="3350" t="s">
        <v>825</v>
      </c>
      <c r="Z21" s="3351"/>
      <c r="AA21" s="3351"/>
      <c r="AB21" s="3351"/>
      <c r="AC21" s="3351"/>
      <c r="AD21" s="3352"/>
      <c r="AE21" s="3352"/>
      <c r="AF21" s="3352"/>
      <c r="AG21" s="3352"/>
      <c r="AH21" s="3352"/>
      <c r="AI21" s="3352"/>
      <c r="AJ21" s="3352"/>
      <c r="AK21" s="885"/>
      <c r="AL21" s="807"/>
      <c r="AM21" s="1083"/>
    </row>
    <row r="22" spans="1:39" s="136" customFormat="1" ht="24" customHeight="1">
      <c r="A22" s="683"/>
      <c r="B22" s="683"/>
      <c r="C22" s="683"/>
      <c r="D22" s="1736"/>
      <c r="E22" s="1737"/>
      <c r="F22" s="1737"/>
      <c r="G22" s="1737"/>
      <c r="H22" s="1737"/>
      <c r="I22" s="1739" t="str">
        <f>I4</f>
        <v>1º Ejercicio 0</v>
      </c>
      <c r="J22" s="1738"/>
      <c r="K22" s="1738"/>
      <c r="L22" s="1738"/>
      <c r="M22" s="1738"/>
      <c r="N22" s="1738"/>
      <c r="O22" s="1738"/>
      <c r="P22" s="885"/>
      <c r="Q22" s="1733"/>
      <c r="R22" s="1733"/>
      <c r="S22" s="1733"/>
      <c r="T22" s="2050"/>
      <c r="U22" s="1734"/>
      <c r="V22" s="303"/>
      <c r="W22" s="303"/>
      <c r="X22" s="303"/>
      <c r="Y22" s="1736"/>
      <c r="Z22" s="1737"/>
      <c r="AA22" s="1737"/>
      <c r="AB22" s="1737"/>
      <c r="AC22" s="1737"/>
      <c r="AD22" s="1739" t="str">
        <f>AD4</f>
        <v>2º Ejercicio 1</v>
      </c>
      <c r="AE22" s="1738"/>
      <c r="AF22" s="1738"/>
      <c r="AG22" s="1738"/>
      <c r="AH22" s="1738"/>
      <c r="AI22" s="1738"/>
      <c r="AJ22" s="1738"/>
      <c r="AK22" s="885"/>
      <c r="AL22" s="807"/>
      <c r="AM22" s="1083"/>
    </row>
    <row r="23" spans="1:39" s="136" customFormat="1" ht="21.75" customHeight="1" thickBot="1">
      <c r="A23" s="683"/>
      <c r="B23" s="683"/>
      <c r="C23" s="683"/>
      <c r="D23" s="1645"/>
      <c r="E23" s="1656"/>
      <c r="F23" s="1656"/>
      <c r="G23" s="1656"/>
      <c r="H23" s="1656"/>
      <c r="I23" s="1735"/>
      <c r="J23" s="885"/>
      <c r="K23" s="885"/>
      <c r="L23" s="885"/>
      <c r="M23" s="885"/>
      <c r="N23" s="885"/>
      <c r="O23" s="885"/>
      <c r="P23" s="885"/>
      <c r="Q23" s="1733"/>
      <c r="R23" s="1733"/>
      <c r="S23" s="1733"/>
      <c r="T23" s="2050"/>
      <c r="U23" s="1734"/>
      <c r="V23" s="303"/>
      <c r="W23" s="303"/>
      <c r="X23" s="303"/>
      <c r="Y23" s="1645"/>
      <c r="Z23" s="1656"/>
      <c r="AA23" s="1656"/>
      <c r="AB23" s="1656"/>
      <c r="AC23" s="1656"/>
      <c r="AD23" s="1656"/>
      <c r="AE23" s="885"/>
      <c r="AF23" s="885"/>
      <c r="AG23" s="885"/>
      <c r="AH23" s="885"/>
      <c r="AI23" s="885"/>
      <c r="AJ23" s="885"/>
      <c r="AK23" s="885"/>
      <c r="AL23" s="807"/>
      <c r="AM23" s="1083"/>
    </row>
    <row r="24" spans="1:39" s="1" customFormat="1" ht="18.75" customHeight="1" thickTop="1" thickBot="1">
      <c r="A24" s="1622"/>
      <c r="B24" s="1622"/>
      <c r="C24" s="2659"/>
      <c r="D24" s="1860" t="str">
        <f>'2.Ventas y Cobros (Ej 1º,2º)'!D8</f>
        <v>Enero</v>
      </c>
      <c r="E24" s="2738" t="str">
        <f>'2.Ventas y Cobros (Ej 1º,2º)'!E8</f>
        <v>Febrero</v>
      </c>
      <c r="F24" s="2738" t="str">
        <f>'2.Ventas y Cobros (Ej 1º,2º)'!F8</f>
        <v>Marzo</v>
      </c>
      <c r="G24" s="2738" t="str">
        <f>'2.Ventas y Cobros (Ej 1º,2º)'!G8</f>
        <v>Abril</v>
      </c>
      <c r="H24" s="2738" t="str">
        <f>'2.Ventas y Cobros (Ej 1º,2º)'!H8</f>
        <v>Mayo</v>
      </c>
      <c r="I24" s="2738" t="str">
        <f>'2.Ventas y Cobros (Ej 1º,2º)'!I8</f>
        <v>Junio</v>
      </c>
      <c r="J24" s="2738" t="str">
        <f>'2.Ventas y Cobros (Ej 1º,2º)'!J8</f>
        <v>Julio</v>
      </c>
      <c r="K24" s="2738" t="str">
        <f>'2.Ventas y Cobros (Ej 1º,2º)'!K8</f>
        <v>Agosto</v>
      </c>
      <c r="L24" s="2738" t="str">
        <f>'2.Ventas y Cobros (Ej 1º,2º)'!L8</f>
        <v>Septiembre</v>
      </c>
      <c r="M24" s="2738" t="str">
        <f>'2.Ventas y Cobros (Ej 1º,2º)'!M8</f>
        <v>Octubre</v>
      </c>
      <c r="N24" s="2738" t="str">
        <f>'2.Ventas y Cobros (Ej 1º,2º)'!N8</f>
        <v>Noviembre</v>
      </c>
      <c r="O24" s="1826" t="str">
        <f>'2.Ventas y Cobros (Ej 1º,2º)'!O8</f>
        <v>Diciembre</v>
      </c>
      <c r="P24" s="1861" t="s">
        <v>16</v>
      </c>
      <c r="Q24" s="1635"/>
      <c r="R24" s="1635"/>
      <c r="S24" s="1635"/>
      <c r="T24" s="2050"/>
      <c r="U24" s="306"/>
      <c r="V24" s="301"/>
      <c r="W24" s="301"/>
      <c r="X24" s="301"/>
      <c r="Y24" s="1860" t="str">
        <f>'2.Ventas y Cobros (Ej 1º,2º)'!W8</f>
        <v>Enero</v>
      </c>
      <c r="Z24" s="2738" t="str">
        <f>'2.Ventas y Cobros (Ej 1º,2º)'!X8</f>
        <v>Febrero</v>
      </c>
      <c r="AA24" s="2738" t="str">
        <f>'2.Ventas y Cobros (Ej 1º,2º)'!Y8</f>
        <v>Marzo</v>
      </c>
      <c r="AB24" s="2738" t="str">
        <f>'2.Ventas y Cobros (Ej 1º,2º)'!Z8</f>
        <v>Abril</v>
      </c>
      <c r="AC24" s="2738" t="str">
        <f>'2.Ventas y Cobros (Ej 1º,2º)'!AA8</f>
        <v>Mayo</v>
      </c>
      <c r="AD24" s="2738" t="str">
        <f>'2.Ventas y Cobros (Ej 1º,2º)'!AB8</f>
        <v>Junio</v>
      </c>
      <c r="AE24" s="2738" t="str">
        <f>'2.Ventas y Cobros (Ej 1º,2º)'!AC8</f>
        <v>Julio</v>
      </c>
      <c r="AF24" s="2738" t="str">
        <f>'2.Ventas y Cobros (Ej 1º,2º)'!AD8</f>
        <v>Agosto</v>
      </c>
      <c r="AG24" s="2738" t="str">
        <f>'2.Ventas y Cobros (Ej 1º,2º)'!AE8</f>
        <v>Septiembre</v>
      </c>
      <c r="AH24" s="2738" t="str">
        <f>'2.Ventas y Cobros (Ej 1º,2º)'!AF8</f>
        <v>Octubre</v>
      </c>
      <c r="AI24" s="2738" t="str">
        <f>'2.Ventas y Cobros (Ej 1º,2º)'!AG8</f>
        <v>Noviembre</v>
      </c>
      <c r="AJ24" s="1826" t="str">
        <f>'2.Ventas y Cobros (Ej 1º,2º)'!AH8</f>
        <v>Diciembre</v>
      </c>
      <c r="AK24" s="1861" t="s">
        <v>16</v>
      </c>
      <c r="AL24" s="807"/>
      <c r="AM24" s="1083"/>
    </row>
    <row r="25" spans="1:39" s="2030" customFormat="1" ht="23.25" customHeight="1" thickTop="1" thickBot="1">
      <c r="A25" s="3470" t="s">
        <v>197</v>
      </c>
      <c r="B25" s="3471"/>
      <c r="C25" s="3472"/>
      <c r="D25" s="2025">
        <f>'3.Costes D.V. y Pagos (1º,2º)'!D16</f>
        <v>0</v>
      </c>
      <c r="E25" s="2743">
        <f>'3.Costes D.V. y Pagos (1º,2º)'!E16</f>
        <v>0</v>
      </c>
      <c r="F25" s="2743">
        <f>'3.Costes D.V. y Pagos (1º,2º)'!F16</f>
        <v>0</v>
      </c>
      <c r="G25" s="2743">
        <f>'3.Costes D.V. y Pagos (1º,2º)'!G16</f>
        <v>0</v>
      </c>
      <c r="H25" s="2743">
        <f>'3.Costes D.V. y Pagos (1º,2º)'!H16</f>
        <v>0</v>
      </c>
      <c r="I25" s="2743">
        <f>'3.Costes D.V. y Pagos (1º,2º)'!I16</f>
        <v>0</v>
      </c>
      <c r="J25" s="2743">
        <f>'3.Costes D.V. y Pagos (1º,2º)'!J16</f>
        <v>0</v>
      </c>
      <c r="K25" s="2743">
        <f>'3.Costes D.V. y Pagos (1º,2º)'!K16</f>
        <v>0</v>
      </c>
      <c r="L25" s="2743">
        <f>'3.Costes D.V. y Pagos (1º,2º)'!L16</f>
        <v>0</v>
      </c>
      <c r="M25" s="2743">
        <f>'3.Costes D.V. y Pagos (1º,2º)'!M16</f>
        <v>0</v>
      </c>
      <c r="N25" s="2743">
        <f>'3.Costes D.V. y Pagos (1º,2º)'!N16</f>
        <v>0</v>
      </c>
      <c r="O25" s="2026">
        <f>'3.Costes D.V. y Pagos (1º,2º)'!O16</f>
        <v>0</v>
      </c>
      <c r="P25" s="2027">
        <f>SUM(D25:O25)</f>
        <v>0</v>
      </c>
      <c r="Q25" s="3454" t="s">
        <v>227</v>
      </c>
      <c r="R25" s="3455"/>
      <c r="S25" s="2028"/>
      <c r="T25" s="2052"/>
      <c r="U25" s="2029"/>
      <c r="V25" s="2029"/>
      <c r="W25" s="2029"/>
      <c r="X25" s="2029"/>
      <c r="Y25" s="2032">
        <f>'3.Costes D.V. y Pagos (1º,2º)'!Y16</f>
        <v>0</v>
      </c>
      <c r="Z25" s="2743">
        <f>'3.Costes D.V. y Pagos (1º,2º)'!Z16</f>
        <v>0</v>
      </c>
      <c r="AA25" s="2743">
        <f>'3.Costes D.V. y Pagos (1º,2º)'!AA16</f>
        <v>0</v>
      </c>
      <c r="AB25" s="2743">
        <f>'3.Costes D.V. y Pagos (1º,2º)'!AB16</f>
        <v>0</v>
      </c>
      <c r="AC25" s="2743">
        <f>'3.Costes D.V. y Pagos (1º,2º)'!AC16</f>
        <v>0</v>
      </c>
      <c r="AD25" s="2743">
        <f>'3.Costes D.V. y Pagos (1º,2º)'!AD16</f>
        <v>0</v>
      </c>
      <c r="AE25" s="2743">
        <f>'3.Costes D.V. y Pagos (1º,2º)'!AE16</f>
        <v>0</v>
      </c>
      <c r="AF25" s="2743">
        <f>'3.Costes D.V. y Pagos (1º,2º)'!AF16</f>
        <v>0</v>
      </c>
      <c r="AG25" s="2743">
        <f>'3.Costes D.V. y Pagos (1º,2º)'!AG16</f>
        <v>0</v>
      </c>
      <c r="AH25" s="2743">
        <f>'3.Costes D.V. y Pagos (1º,2º)'!AH16</f>
        <v>0</v>
      </c>
      <c r="AI25" s="2743">
        <f>'3.Costes D.V. y Pagos (1º,2º)'!AI16</f>
        <v>0</v>
      </c>
      <c r="AJ25" s="2026">
        <f>'3.Costes D.V. y Pagos (1º,2º)'!AJ16</f>
        <v>0</v>
      </c>
      <c r="AK25" s="2027">
        <f>SUM(Y25:AJ25)</f>
        <v>0</v>
      </c>
      <c r="AL25" s="3454" t="s">
        <v>227</v>
      </c>
      <c r="AM25" s="3455"/>
    </row>
    <row r="26" spans="1:39" s="1" customFormat="1" ht="20.25" hidden="1" customHeight="1" thickBot="1">
      <c r="A26" s="3473" t="s">
        <v>198</v>
      </c>
      <c r="B26" s="3474"/>
      <c r="C26" s="3475"/>
      <c r="D26" s="1650">
        <f>(D25*'3.Costes D.V. y Pagos (1º,2º)'!$Q$17)</f>
        <v>0</v>
      </c>
      <c r="E26" s="1650">
        <f>E25*'3.Costes D.V. y Pagos (1º,2º)'!$Q$17</f>
        <v>0</v>
      </c>
      <c r="F26" s="1650">
        <f>F25*'3.Costes D.V. y Pagos (1º,2º)'!$Q$17</f>
        <v>0</v>
      </c>
      <c r="G26" s="1650">
        <f>G25*'3.Costes D.V. y Pagos (1º,2º)'!$Q$17</f>
        <v>0</v>
      </c>
      <c r="H26" s="1650">
        <f>H25*'3.Costes D.V. y Pagos (1º,2º)'!$Q$17</f>
        <v>0</v>
      </c>
      <c r="I26" s="1650">
        <f>I25*'3.Costes D.V. y Pagos (1º,2º)'!$Q$17</f>
        <v>0</v>
      </c>
      <c r="J26" s="1650">
        <f>J25*'3.Costes D.V. y Pagos (1º,2º)'!$Q$17</f>
        <v>0</v>
      </c>
      <c r="K26" s="1650">
        <f>K25*'3.Costes D.V. y Pagos (1º,2º)'!$Q$17</f>
        <v>0</v>
      </c>
      <c r="L26" s="1650">
        <f>L25*'3.Costes D.V. y Pagos (1º,2º)'!$Q$17</f>
        <v>0</v>
      </c>
      <c r="M26" s="1650">
        <f>M25*'3.Costes D.V. y Pagos (1º,2º)'!$Q$17</f>
        <v>0</v>
      </c>
      <c r="N26" s="1650">
        <f>N25*'3.Costes D.V. y Pagos (1º,2º)'!$Q$17</f>
        <v>0</v>
      </c>
      <c r="O26" s="2023">
        <f>O25*'3.Costes D.V. y Pagos (1º,2º)'!$Q$17</f>
        <v>0</v>
      </c>
      <c r="P26" s="2024">
        <f>SUM(D26:O26)</f>
        <v>0</v>
      </c>
      <c r="Q26" s="2787">
        <f>IF('(0) 4. Resumen Balances (5 Ej.)'!D16&gt;0,"",'(0) 4. Resumen Balances (5 Ej.)'!D16)</f>
        <v>0</v>
      </c>
      <c r="R26" s="1636"/>
      <c r="S26" s="1636"/>
      <c r="T26" s="2053"/>
      <c r="U26" s="301"/>
      <c r="V26" s="301"/>
      <c r="W26" s="301"/>
      <c r="X26" s="303"/>
      <c r="Y26" s="2031">
        <f>(Y25*'3.Costes D.V. y Pagos (1º,2º)'!$Q$17)</f>
        <v>0</v>
      </c>
      <c r="Z26" s="1650">
        <f>Z25*'3.Costes D.V. y Pagos (1º,2º)'!$Q$17</f>
        <v>0</v>
      </c>
      <c r="AA26" s="1650">
        <f>AA25*'3.Costes D.V. y Pagos (1º,2º)'!$Q$17</f>
        <v>0</v>
      </c>
      <c r="AB26" s="1650">
        <f>AB25*'3.Costes D.V. y Pagos (1º,2º)'!$Q$17</f>
        <v>0</v>
      </c>
      <c r="AC26" s="1650">
        <f>AC25*'3.Costes D.V. y Pagos (1º,2º)'!$Q$17</f>
        <v>0</v>
      </c>
      <c r="AD26" s="1650">
        <f>AD25*'3.Costes D.V. y Pagos (1º,2º)'!$Q$17</f>
        <v>0</v>
      </c>
      <c r="AE26" s="1650">
        <f>AE25*'3.Costes D.V. y Pagos (1º,2º)'!$Q$17</f>
        <v>0</v>
      </c>
      <c r="AF26" s="1650">
        <f>AF25*'3.Costes D.V. y Pagos (1º,2º)'!$Q$17</f>
        <v>0</v>
      </c>
      <c r="AG26" s="1650">
        <f>AG25*'3.Costes D.V. y Pagos (1º,2º)'!$Q$17</f>
        <v>0</v>
      </c>
      <c r="AH26" s="1650">
        <f>AH25*'3.Costes D.V. y Pagos (1º,2º)'!$Q$17</f>
        <v>0</v>
      </c>
      <c r="AI26" s="1650">
        <f>AI25*'3.Costes D.V. y Pagos (1º,2º)'!$Q$17</f>
        <v>0</v>
      </c>
      <c r="AJ26" s="2023">
        <f>AJ25*'3.Costes D.V. y Pagos (1º,2º)'!$Q$17</f>
        <v>0</v>
      </c>
      <c r="AK26" s="2024">
        <f>SUM(Y26:AJ26)</f>
        <v>0</v>
      </c>
      <c r="AL26" s="2787">
        <f>IF('(0) 4. Resumen Balances (5 Ej.)'!U16&gt;0,"",'(0) 4. Resumen Balances (5 Ej.)'!U16)</f>
        <v>0</v>
      </c>
      <c r="AM26" s="1636"/>
    </row>
    <row r="27" spans="1:39" ht="18.75" customHeight="1" thickTop="1">
      <c r="Q27" s="2788"/>
      <c r="R27" s="2789">
        <f>'(0) 4. Resumen Balances (5 Ej.)'!D16</f>
        <v>0</v>
      </c>
      <c r="AL27" s="2788"/>
      <c r="AM27" s="2789">
        <f>'(0) 4. Resumen Balances (5 Ej.)'!F16</f>
        <v>0</v>
      </c>
    </row>
    <row r="28" spans="1:39" ht="18.75" customHeight="1"/>
    <row r="29" spans="1:39" ht="18.75" customHeight="1"/>
    <row r="30" spans="1:39" ht="33.75" customHeight="1">
      <c r="C30" s="3350" t="s">
        <v>826</v>
      </c>
      <c r="D30" s="3347"/>
      <c r="E30" s="3347"/>
      <c r="F30" s="3347"/>
      <c r="G30" s="3347"/>
      <c r="H30" s="3347"/>
      <c r="I30" s="3347"/>
      <c r="J30" s="3347"/>
      <c r="K30" s="3347"/>
      <c r="L30" s="3347"/>
      <c r="M30" s="3347"/>
      <c r="N30" s="3347"/>
      <c r="O30" s="3347"/>
      <c r="Y30" s="3350" t="s">
        <v>827</v>
      </c>
      <c r="Z30" s="3351"/>
      <c r="AA30" s="3351"/>
      <c r="AB30" s="3351"/>
      <c r="AC30" s="3351"/>
      <c r="AD30" s="3352"/>
      <c r="AE30" s="3352"/>
      <c r="AF30" s="3352"/>
      <c r="AG30" s="3352"/>
      <c r="AH30" s="3352"/>
      <c r="AI30" s="3352"/>
      <c r="AJ30" s="3352"/>
    </row>
    <row r="31" spans="1:39" ht="24" customHeight="1">
      <c r="I31" s="1740" t="str">
        <f>I22</f>
        <v>1º Ejercicio 0</v>
      </c>
      <c r="AD31" s="1758" t="str">
        <f>'3.Costes D.V. y Pagos (1º,2º)'!AD4</f>
        <v>2º Ejercicio 1</v>
      </c>
    </row>
    <row r="32" spans="1:39" ht="18.75" customHeight="1" thickBot="1"/>
    <row r="33" spans="1:37" s="1" customFormat="1" ht="23.25" customHeight="1" thickTop="1" thickBot="1">
      <c r="A33" s="3467" t="s">
        <v>637</v>
      </c>
      <c r="B33" s="3468"/>
      <c r="C33" s="3469"/>
      <c r="J33" s="1624"/>
      <c r="P33" s="4"/>
      <c r="T33" s="1829"/>
    </row>
    <row r="34" spans="1:37" s="4" customFormat="1" ht="3.75" customHeight="1" thickBot="1">
      <c r="A34" s="291"/>
      <c r="B34" s="291"/>
      <c r="C34" s="291"/>
      <c r="D34" s="291"/>
      <c r="E34" s="291"/>
      <c r="F34" s="291"/>
      <c r="G34" s="291"/>
      <c r="H34" s="291"/>
      <c r="I34" s="291"/>
      <c r="J34" s="291"/>
      <c r="K34" s="291"/>
      <c r="L34" s="291"/>
      <c r="M34" s="291"/>
      <c r="N34" s="291"/>
      <c r="O34" s="291"/>
      <c r="P34" s="291"/>
      <c r="T34" s="2054"/>
      <c r="Y34" s="291"/>
      <c r="Z34" s="291"/>
      <c r="AA34" s="291"/>
      <c r="AB34" s="291"/>
      <c r="AC34" s="291"/>
      <c r="AD34" s="291"/>
      <c r="AE34" s="291"/>
      <c r="AF34" s="291"/>
      <c r="AG34" s="291"/>
      <c r="AH34" s="291"/>
      <c r="AI34" s="291"/>
      <c r="AJ34" s="291"/>
      <c r="AK34" s="291"/>
    </row>
    <row r="35" spans="1:37" s="1" customFormat="1" ht="18.75" customHeight="1" thickTop="1" thickBot="1">
      <c r="A35" s="3477" t="s">
        <v>471</v>
      </c>
      <c r="B35" s="3478"/>
      <c r="C35" s="1863" t="s">
        <v>203</v>
      </c>
      <c r="D35" s="1826" t="str">
        <f>Enero</f>
        <v>Enero</v>
      </c>
      <c r="E35" s="2738" t="str">
        <f>'2.Ventas y Cobros (Ej 1º,2º)'!E8</f>
        <v>Febrero</v>
      </c>
      <c r="F35" s="2738" t="str">
        <f>'2.Ventas y Cobros (Ej 1º,2º)'!F8</f>
        <v>Marzo</v>
      </c>
      <c r="G35" s="2738" t="str">
        <f>'2.Ventas y Cobros (Ej 1º,2º)'!G8</f>
        <v>Abril</v>
      </c>
      <c r="H35" s="2738" t="str">
        <f>'2.Ventas y Cobros (Ej 1º,2º)'!H8</f>
        <v>Mayo</v>
      </c>
      <c r="I35" s="2738" t="str">
        <f>'2.Ventas y Cobros (Ej 1º,2º)'!I8</f>
        <v>Junio</v>
      </c>
      <c r="J35" s="2738" t="str">
        <f>'2.Ventas y Cobros (Ej 1º,2º)'!J8</f>
        <v>Julio</v>
      </c>
      <c r="K35" s="2738" t="str">
        <f>'2.Ventas y Cobros (Ej 1º,2º)'!K8</f>
        <v>Agosto</v>
      </c>
      <c r="L35" s="2738" t="str">
        <f>'2.Ventas y Cobros (Ej 1º,2º)'!L8</f>
        <v>Septiembre</v>
      </c>
      <c r="M35" s="2738" t="str">
        <f>'2.Ventas y Cobros (Ej 1º,2º)'!M8</f>
        <v>Octubre</v>
      </c>
      <c r="N35" s="2738" t="str">
        <f>'2.Ventas y Cobros (Ej 1º,2º)'!N8</f>
        <v>Noviembre</v>
      </c>
      <c r="O35" s="1826" t="str">
        <f>'2.Ventas y Cobros (Ej 1º,2º)'!O8</f>
        <v>Diciembre</v>
      </c>
      <c r="P35" s="1808" t="s">
        <v>16</v>
      </c>
      <c r="T35" s="1829"/>
      <c r="U35" s="1084"/>
      <c r="V35" s="1084"/>
      <c r="W35" s="1084"/>
      <c r="X35" s="1084"/>
      <c r="Y35" s="1859" t="str">
        <f>Enero</f>
        <v>Enero</v>
      </c>
      <c r="Z35" s="2738" t="str">
        <f>'2.Ventas y Cobros (Ej 1º,2º)'!X8</f>
        <v>Febrero</v>
      </c>
      <c r="AA35" s="2738" t="str">
        <f>'2.Ventas y Cobros (Ej 1º,2º)'!Y8</f>
        <v>Marzo</v>
      </c>
      <c r="AB35" s="2738" t="str">
        <f>'2.Ventas y Cobros (Ej 1º,2º)'!Z8</f>
        <v>Abril</v>
      </c>
      <c r="AC35" s="2738" t="str">
        <f>'2.Ventas y Cobros (Ej 1º,2º)'!AA8</f>
        <v>Mayo</v>
      </c>
      <c r="AD35" s="2738" t="str">
        <f>'2.Ventas y Cobros (Ej 1º,2º)'!AB8</f>
        <v>Junio</v>
      </c>
      <c r="AE35" s="2738" t="str">
        <f>'2.Ventas y Cobros (Ej 1º,2º)'!AC8</f>
        <v>Julio</v>
      </c>
      <c r="AF35" s="2738" t="str">
        <f>'2.Ventas y Cobros (Ej 1º,2º)'!AD8</f>
        <v>Agosto</v>
      </c>
      <c r="AG35" s="2738" t="str">
        <f>'2.Ventas y Cobros (Ej 1º,2º)'!AE8</f>
        <v>Septiembre</v>
      </c>
      <c r="AH35" s="2738" t="str">
        <f>'2.Ventas y Cobros (Ej 1º,2º)'!AF8</f>
        <v>Octubre</v>
      </c>
      <c r="AI35" s="2738" t="str">
        <f>'2.Ventas y Cobros (Ej 1º,2º)'!AG8</f>
        <v>Noviembre</v>
      </c>
      <c r="AJ35" s="1826" t="str">
        <f>'2.Ventas y Cobros (Ej 1º,2º)'!AH8</f>
        <v>Diciembre</v>
      </c>
      <c r="AK35" s="1808" t="s">
        <v>16</v>
      </c>
    </row>
    <row r="36" spans="1:37" s="1" customFormat="1" ht="36.75" customHeight="1" thickBot="1">
      <c r="A36" s="3482" t="s">
        <v>823</v>
      </c>
      <c r="B36" s="3483"/>
      <c r="C36" s="1862">
        <v>0</v>
      </c>
      <c r="D36" s="1741">
        <f>'2.Ventas y Cobros (Ej 1º,2º)'!D25*$C$36</f>
        <v>0</v>
      </c>
      <c r="E36" s="2744">
        <f>'2.Ventas y Cobros (Ej 1º,2º)'!E25*$C$36</f>
        <v>0</v>
      </c>
      <c r="F36" s="2744">
        <f>'2.Ventas y Cobros (Ej 1º,2º)'!F25*$C$36</f>
        <v>0</v>
      </c>
      <c r="G36" s="2744">
        <f>'2.Ventas y Cobros (Ej 1º,2º)'!G25*$C$36</f>
        <v>0</v>
      </c>
      <c r="H36" s="2744">
        <f>'2.Ventas y Cobros (Ej 1º,2º)'!H25*$C$36</f>
        <v>0</v>
      </c>
      <c r="I36" s="2744">
        <f>'2.Ventas y Cobros (Ej 1º,2º)'!I25*$C$36</f>
        <v>0</v>
      </c>
      <c r="J36" s="2744">
        <f>'2.Ventas y Cobros (Ej 1º,2º)'!J25*$C$36</f>
        <v>0</v>
      </c>
      <c r="K36" s="2744">
        <f>'2.Ventas y Cobros (Ej 1º,2º)'!K25*$C$36</f>
        <v>0</v>
      </c>
      <c r="L36" s="2744">
        <f>'2.Ventas y Cobros (Ej 1º,2º)'!L25*$C$36</f>
        <v>0</v>
      </c>
      <c r="M36" s="2744">
        <f>'2.Ventas y Cobros (Ej 1º,2º)'!M25*$C$36</f>
        <v>0</v>
      </c>
      <c r="N36" s="2744">
        <f>'2.Ventas y Cobros (Ej 1º,2º)'!N25*$C$36</f>
        <v>0</v>
      </c>
      <c r="O36" s="1741">
        <f>'2.Ventas y Cobros (Ej 1º,2º)'!O25*$C$36</f>
        <v>0</v>
      </c>
      <c r="P36" s="1742">
        <f>SUM(D36:O36)</f>
        <v>0</v>
      </c>
      <c r="T36" s="1829"/>
      <c r="U36" s="3460">
        <f>C36</f>
        <v>0</v>
      </c>
      <c r="V36" s="3461"/>
      <c r="W36" s="1743"/>
      <c r="X36" s="1743"/>
      <c r="Y36" s="1744">
        <f>'2.Ventas y Cobros (Ej 1º,2º)'!W25*$U$36</f>
        <v>0</v>
      </c>
      <c r="Z36" s="2756">
        <f>'2.Ventas y Cobros (Ej 1º,2º)'!X25*$U$36</f>
        <v>0</v>
      </c>
      <c r="AA36" s="2756">
        <f>'2.Ventas y Cobros (Ej 1º,2º)'!Y25*$U$36</f>
        <v>0</v>
      </c>
      <c r="AB36" s="2756">
        <f>'2.Ventas y Cobros (Ej 1º,2º)'!Z25*$U$36</f>
        <v>0</v>
      </c>
      <c r="AC36" s="2756">
        <f>'2.Ventas y Cobros (Ej 1º,2º)'!AA25*$U$36</f>
        <v>0</v>
      </c>
      <c r="AD36" s="2756">
        <f>'2.Ventas y Cobros (Ej 1º,2º)'!AB25*$U$36</f>
        <v>0</v>
      </c>
      <c r="AE36" s="2756">
        <f>'2.Ventas y Cobros (Ej 1º,2º)'!AC25*$U$36</f>
        <v>0</v>
      </c>
      <c r="AF36" s="2756">
        <f>'2.Ventas y Cobros (Ej 1º,2º)'!AD25*$U$36</f>
        <v>0</v>
      </c>
      <c r="AG36" s="2756">
        <f>'2.Ventas y Cobros (Ej 1º,2º)'!AE25*$U$36</f>
        <v>0</v>
      </c>
      <c r="AH36" s="2756">
        <f>'2.Ventas y Cobros (Ej 1º,2º)'!AF25*$U$36</f>
        <v>0</v>
      </c>
      <c r="AI36" s="2756">
        <f>'2.Ventas y Cobros (Ej 1º,2º)'!AG25*$U$36</f>
        <v>0</v>
      </c>
      <c r="AJ36" s="1745">
        <f>'2.Ventas y Cobros (Ej 1º,2º)'!AH25*$U$36</f>
        <v>0</v>
      </c>
      <c r="AK36" s="1742">
        <f>SUM(Y36:AJ36)</f>
        <v>0</v>
      </c>
    </row>
    <row r="37" spans="1:37" s="1" customFormat="1" ht="22.5" customHeight="1" thickTop="1" thickBot="1">
      <c r="A37" s="3479" t="s">
        <v>640</v>
      </c>
      <c r="B37" s="3480"/>
      <c r="C37" s="3481"/>
      <c r="D37" s="304">
        <f t="shared" ref="D37:O37" si="4">SUM(D36:D36)</f>
        <v>0</v>
      </c>
      <c r="E37" s="2745">
        <f t="shared" si="4"/>
        <v>0</v>
      </c>
      <c r="F37" s="2745">
        <f t="shared" si="4"/>
        <v>0</v>
      </c>
      <c r="G37" s="2745">
        <f t="shared" si="4"/>
        <v>0</v>
      </c>
      <c r="H37" s="2745">
        <f t="shared" si="4"/>
        <v>0</v>
      </c>
      <c r="I37" s="2745">
        <f t="shared" si="4"/>
        <v>0</v>
      </c>
      <c r="J37" s="2745">
        <f t="shared" si="4"/>
        <v>0</v>
      </c>
      <c r="K37" s="2745">
        <f t="shared" si="4"/>
        <v>0</v>
      </c>
      <c r="L37" s="2745">
        <f t="shared" si="4"/>
        <v>0</v>
      </c>
      <c r="M37" s="2745">
        <f t="shared" si="4"/>
        <v>0</v>
      </c>
      <c r="N37" s="2745">
        <f t="shared" si="4"/>
        <v>0</v>
      </c>
      <c r="O37" s="304">
        <f t="shared" si="4"/>
        <v>0</v>
      </c>
      <c r="P37" s="1288">
        <f>SUM(D37:O37)</f>
        <v>0</v>
      </c>
      <c r="T37" s="1829"/>
      <c r="U37" s="1084"/>
      <c r="V37" s="1084"/>
      <c r="W37" s="1084"/>
      <c r="X37" s="1084"/>
      <c r="Y37" s="1119">
        <f t="shared" ref="Y37:AJ37" si="5">SUM(Y36:Y36)</f>
        <v>0</v>
      </c>
      <c r="Z37" s="2745">
        <f t="shared" si="5"/>
        <v>0</v>
      </c>
      <c r="AA37" s="2745">
        <f t="shared" si="5"/>
        <v>0</v>
      </c>
      <c r="AB37" s="2745">
        <f t="shared" si="5"/>
        <v>0</v>
      </c>
      <c r="AC37" s="2745">
        <f t="shared" si="5"/>
        <v>0</v>
      </c>
      <c r="AD37" s="2745">
        <f t="shared" si="5"/>
        <v>0</v>
      </c>
      <c r="AE37" s="2745">
        <f t="shared" si="5"/>
        <v>0</v>
      </c>
      <c r="AF37" s="2745">
        <f t="shared" si="5"/>
        <v>0</v>
      </c>
      <c r="AG37" s="2745">
        <f t="shared" si="5"/>
        <v>0</v>
      </c>
      <c r="AH37" s="2745">
        <f t="shared" si="5"/>
        <v>0</v>
      </c>
      <c r="AI37" s="2745">
        <f t="shared" si="5"/>
        <v>0</v>
      </c>
      <c r="AJ37" s="304">
        <f t="shared" si="5"/>
        <v>0</v>
      </c>
      <c r="AK37" s="305">
        <f>SUM(Y37:AJ37)</f>
        <v>0</v>
      </c>
    </row>
    <row r="38" spans="1:37" s="1" customFormat="1" ht="20.25" hidden="1" customHeight="1" thickTop="1" thickBot="1">
      <c r="A38" s="3451" t="s">
        <v>240</v>
      </c>
      <c r="B38" s="3452"/>
      <c r="C38" s="3453"/>
      <c r="D38" s="307">
        <f>(D37*'1.Datos Básicos. Product-Serv'!$B$17)</f>
        <v>0</v>
      </c>
      <c r="E38" s="307">
        <f>(E37*'1.Datos Básicos. Product-Serv'!$B$17)</f>
        <v>0</v>
      </c>
      <c r="F38" s="307">
        <f>(F37*'1.Datos Básicos. Product-Serv'!$B$17)</f>
        <v>0</v>
      </c>
      <c r="G38" s="307">
        <f>(G37*'1.Datos Básicos. Product-Serv'!$B$17)</f>
        <v>0</v>
      </c>
      <c r="H38" s="307">
        <f>(H37*'1.Datos Básicos. Product-Serv'!$B$17)</f>
        <v>0</v>
      </c>
      <c r="I38" s="307">
        <f>(I37*'1.Datos Básicos. Product-Serv'!$B$17)</f>
        <v>0</v>
      </c>
      <c r="J38" s="307">
        <f>(J37*'1.Datos Básicos. Product-Serv'!$B$17)</f>
        <v>0</v>
      </c>
      <c r="K38" s="307">
        <f>(K37*'1.Datos Básicos. Product-Serv'!$B$17)</f>
        <v>0</v>
      </c>
      <c r="L38" s="307">
        <f>(L37*'1.Datos Básicos. Product-Serv'!$B$17)</f>
        <v>0</v>
      </c>
      <c r="M38" s="307">
        <f>(M37*'1.Datos Básicos. Product-Serv'!$B$17)</f>
        <v>0</v>
      </c>
      <c r="N38" s="307">
        <f>(N37*'1.Datos Básicos. Product-Serv'!$B$17)</f>
        <v>0</v>
      </c>
      <c r="O38" s="307">
        <f>(O37*'1.Datos Básicos. Product-Serv'!$B$17)</f>
        <v>0</v>
      </c>
      <c r="P38" s="1287">
        <f>SUM(D38:O38)</f>
        <v>0</v>
      </c>
      <c r="T38" s="1829"/>
      <c r="X38" s="136"/>
      <c r="Y38" s="1120">
        <f>(Y37*'1.Datos Básicos. Product-Serv'!$B$17)</f>
        <v>0</v>
      </c>
      <c r="Z38" s="307">
        <f>(Z37*'1.Datos Básicos. Product-Serv'!$B$17)</f>
        <v>0</v>
      </c>
      <c r="AA38" s="307">
        <f>(AA37*'1.Datos Básicos. Product-Serv'!$B$17)</f>
        <v>0</v>
      </c>
      <c r="AB38" s="307">
        <f>(AB37*'1.Datos Básicos. Product-Serv'!$B$17)</f>
        <v>0</v>
      </c>
      <c r="AC38" s="307">
        <f>(AC37*'1.Datos Básicos. Product-Serv'!$B$17)</f>
        <v>0</v>
      </c>
      <c r="AD38" s="307">
        <f>(AD37*'1.Datos Básicos. Product-Serv'!$B$17)</f>
        <v>0</v>
      </c>
      <c r="AE38" s="307">
        <f>(AE37*'1.Datos Básicos. Product-Serv'!$B$17)</f>
        <v>0</v>
      </c>
      <c r="AF38" s="307">
        <f>(AF37*'1.Datos Básicos. Product-Serv'!$B$17)</f>
        <v>0</v>
      </c>
      <c r="AG38" s="307">
        <f>(AG37*'1.Datos Básicos. Product-Serv'!$B$17)</f>
        <v>0</v>
      </c>
      <c r="AH38" s="307">
        <f>(AH37*'1.Datos Básicos. Product-Serv'!$B$17)</f>
        <v>0</v>
      </c>
      <c r="AI38" s="307">
        <f>(AI37*'1.Datos Básicos. Product-Serv'!$B$17)</f>
        <v>0</v>
      </c>
      <c r="AJ38" s="307">
        <f>(AJ37*'1.Datos Básicos. Product-Serv'!$B$17)</f>
        <v>0</v>
      </c>
      <c r="AK38" s="308">
        <f>SUM(Y38:AJ38)</f>
        <v>0</v>
      </c>
    </row>
    <row r="39" spans="1:37" s="1083" customFormat="1" ht="13.5" customHeight="1" thickTop="1">
      <c r="A39" s="1653"/>
      <c r="B39" s="1653"/>
      <c r="C39" s="1654"/>
      <c r="D39" s="885"/>
      <c r="E39" s="885"/>
      <c r="F39" s="885"/>
      <c r="G39" s="885"/>
      <c r="H39" s="885"/>
      <c r="I39" s="885"/>
      <c r="J39" s="885"/>
      <c r="K39" s="885"/>
      <c r="L39" s="885"/>
      <c r="M39" s="885"/>
      <c r="N39" s="885"/>
      <c r="O39" s="885"/>
      <c r="P39" s="1655"/>
      <c r="T39" s="1829"/>
      <c r="Y39" s="885"/>
      <c r="Z39" s="885"/>
      <c r="AA39" s="885"/>
      <c r="AB39" s="885"/>
      <c r="AC39" s="885"/>
      <c r="AD39" s="885"/>
      <c r="AE39" s="885"/>
      <c r="AF39" s="885"/>
      <c r="AG39" s="885"/>
      <c r="AH39" s="885"/>
      <c r="AI39" s="885"/>
      <c r="AJ39" s="885"/>
      <c r="AK39" s="885"/>
    </row>
    <row r="40" spans="1:37" s="1" customFormat="1" ht="14.25" customHeight="1" thickBot="1">
      <c r="A40" s="1651"/>
      <c r="B40" s="1651"/>
      <c r="C40" s="1652"/>
      <c r="D40" s="1650"/>
      <c r="E40" s="1650"/>
      <c r="F40" s="1650"/>
      <c r="G40" s="1650"/>
      <c r="H40" s="1650"/>
      <c r="I40" s="1650"/>
      <c r="J40" s="1650"/>
      <c r="K40" s="1650"/>
      <c r="L40" s="1650"/>
      <c r="M40" s="1650"/>
      <c r="N40" s="1650"/>
      <c r="O40" s="1650"/>
      <c r="P40" s="1650"/>
      <c r="T40" s="1829"/>
      <c r="Y40" s="1650"/>
      <c r="Z40" s="1650"/>
      <c r="AA40" s="1650"/>
      <c r="AB40" s="1650"/>
      <c r="AC40" s="1650"/>
      <c r="AD40" s="1650"/>
      <c r="AE40" s="1650"/>
      <c r="AF40" s="1650"/>
      <c r="AG40" s="1650"/>
      <c r="AH40" s="1650"/>
      <c r="AI40" s="1650"/>
      <c r="AJ40" s="1650"/>
      <c r="AK40" s="1650"/>
    </row>
    <row r="41" spans="1:37" s="2000" customFormat="1" ht="24.75" customHeight="1" thickTop="1" thickBot="1">
      <c r="A41" s="3476" t="s">
        <v>650</v>
      </c>
      <c r="B41" s="3363"/>
      <c r="C41" s="3364"/>
      <c r="D41" s="1998">
        <f>'3.Costes D.V. y Pagos (1º,2º)'!D16+D37</f>
        <v>0</v>
      </c>
      <c r="E41" s="2746">
        <f>'3.Costes D.V. y Pagos (1º,2º)'!E16+E37</f>
        <v>0</v>
      </c>
      <c r="F41" s="2746">
        <f>'3.Costes D.V. y Pagos (1º,2º)'!F16+F37</f>
        <v>0</v>
      </c>
      <c r="G41" s="2746">
        <f>'3.Costes D.V. y Pagos (1º,2º)'!G16+G37</f>
        <v>0</v>
      </c>
      <c r="H41" s="2746">
        <f>'3.Costes D.V. y Pagos (1º,2º)'!H16+H37</f>
        <v>0</v>
      </c>
      <c r="I41" s="2746">
        <f>'3.Costes D.V. y Pagos (1º,2º)'!I16+I37</f>
        <v>0</v>
      </c>
      <c r="J41" s="2746">
        <f>'3.Costes D.V. y Pagos (1º,2º)'!J16+J37</f>
        <v>0</v>
      </c>
      <c r="K41" s="2746">
        <f>'3.Costes D.V. y Pagos (1º,2º)'!K16+K37</f>
        <v>0</v>
      </c>
      <c r="L41" s="2746">
        <f>'3.Costes D.V. y Pagos (1º,2º)'!L16+L37</f>
        <v>0</v>
      </c>
      <c r="M41" s="2746">
        <f>'3.Costes D.V. y Pagos (1º,2º)'!M16+M37</f>
        <v>0</v>
      </c>
      <c r="N41" s="2746">
        <f>'3.Costes D.V. y Pagos (1º,2º)'!N16+N37</f>
        <v>0</v>
      </c>
      <c r="O41" s="1998">
        <f>'3.Costes D.V. y Pagos (1º,2º)'!O16+O37</f>
        <v>0</v>
      </c>
      <c r="P41" s="1999">
        <f>SUM(D41:O41)</f>
        <v>0</v>
      </c>
      <c r="T41" s="2007"/>
      <c r="Y41" s="2001">
        <f>'3.Costes D.V. y Pagos (1º,2º)'!Y16+Y37</f>
        <v>0</v>
      </c>
      <c r="Z41" s="2755">
        <f>'3.Costes D.V. y Pagos (1º,2º)'!Z16+Z37</f>
        <v>0</v>
      </c>
      <c r="AA41" s="2755">
        <f>'3.Costes D.V. y Pagos (1º,2º)'!AA16+AA37</f>
        <v>0</v>
      </c>
      <c r="AB41" s="2755">
        <f>'3.Costes D.V. y Pagos (1º,2º)'!AB16+AB37</f>
        <v>0</v>
      </c>
      <c r="AC41" s="2755">
        <f>'3.Costes D.V. y Pagos (1º,2º)'!AC16+AC37</f>
        <v>0</v>
      </c>
      <c r="AD41" s="2755">
        <f>'3.Costes D.V. y Pagos (1º,2º)'!AD16+AD37</f>
        <v>0</v>
      </c>
      <c r="AE41" s="2755">
        <f>'3.Costes D.V. y Pagos (1º,2º)'!AE16+AE37</f>
        <v>0</v>
      </c>
      <c r="AF41" s="2755">
        <f>'3.Costes D.V. y Pagos (1º,2º)'!AF16+AF37</f>
        <v>0</v>
      </c>
      <c r="AG41" s="2755">
        <f>'3.Costes D.V. y Pagos (1º,2º)'!AG16+AG37</f>
        <v>0</v>
      </c>
      <c r="AH41" s="2755">
        <f>'3.Costes D.V. y Pagos (1º,2º)'!AH16+AH37</f>
        <v>0</v>
      </c>
      <c r="AI41" s="2755">
        <f>'3.Costes D.V. y Pagos (1º,2º)'!AI16+AI37</f>
        <v>0</v>
      </c>
      <c r="AJ41" s="2002">
        <f>'3.Costes D.V. y Pagos (1º,2º)'!AJ16+AJ37</f>
        <v>0</v>
      </c>
      <c r="AK41" s="2003">
        <f>SUM(Y41:AJ41)</f>
        <v>0</v>
      </c>
    </row>
    <row r="42" spans="1:37" ht="18.75" customHeight="1" thickTop="1"/>
    <row r="43" spans="1:37" s="2020" customFormat="1" ht="18.75" customHeight="1">
      <c r="T43" s="2051"/>
    </row>
    <row r="44" spans="1:37" ht="18.75" customHeight="1"/>
    <row r="45" spans="1:37" s="95" customFormat="1" ht="31.5" customHeight="1">
      <c r="A45" s="1755"/>
      <c r="B45" s="1755"/>
      <c r="C45" s="3350" t="s">
        <v>646</v>
      </c>
      <c r="D45" s="3347"/>
      <c r="E45" s="3347"/>
      <c r="F45" s="3347"/>
      <c r="G45" s="3347"/>
      <c r="H45" s="3347"/>
      <c r="I45" s="3347"/>
      <c r="J45" s="3347"/>
      <c r="K45" s="3347"/>
      <c r="L45" s="3347"/>
      <c r="M45" s="3347"/>
      <c r="N45" s="3347"/>
      <c r="O45" s="3347"/>
      <c r="P45" s="1756"/>
      <c r="T45" s="2055"/>
      <c r="Y45" s="3350" t="s">
        <v>646</v>
      </c>
      <c r="Z45" s="3351"/>
      <c r="AA45" s="3351"/>
      <c r="AB45" s="3351"/>
      <c r="AC45" s="3351"/>
      <c r="AD45" s="3352"/>
      <c r="AE45" s="3352"/>
      <c r="AF45" s="3352"/>
      <c r="AG45" s="3352"/>
      <c r="AH45" s="3352"/>
      <c r="AI45" s="3352"/>
      <c r="AJ45" s="3352"/>
      <c r="AK45" s="235"/>
    </row>
    <row r="46" spans="1:37" s="1" customFormat="1" ht="26.25" customHeight="1">
      <c r="A46" s="4"/>
      <c r="B46" s="4"/>
      <c r="C46" s="91"/>
      <c r="D46" s="88"/>
      <c r="E46" s="88"/>
      <c r="F46" s="88"/>
      <c r="G46" s="88"/>
      <c r="H46" s="88"/>
      <c r="I46" s="1757" t="str">
        <f>I31</f>
        <v>1º Ejercicio 0</v>
      </c>
      <c r="J46" s="88"/>
      <c r="K46" s="88"/>
      <c r="L46" s="88"/>
      <c r="M46" s="88"/>
      <c r="N46" s="103"/>
      <c r="O46" s="88"/>
      <c r="P46" s="235"/>
      <c r="Q46" s="136"/>
      <c r="R46" s="136"/>
      <c r="S46" s="136"/>
      <c r="T46" s="1829"/>
      <c r="Y46" s="88"/>
      <c r="Z46" s="88"/>
      <c r="AA46" s="88"/>
      <c r="AB46" s="88"/>
      <c r="AC46" s="88"/>
      <c r="AD46" s="1757" t="str">
        <f>AD22</f>
        <v>2º Ejercicio 1</v>
      </c>
      <c r="AE46" s="88"/>
      <c r="AF46" s="88"/>
      <c r="AG46" s="88"/>
      <c r="AH46" s="88"/>
      <c r="AI46" s="103"/>
      <c r="AJ46" s="88"/>
      <c r="AK46" s="235"/>
    </row>
    <row r="47" spans="1:37" s="1" customFormat="1" ht="16.5" thickBot="1">
      <c r="A47" s="4"/>
      <c r="B47" s="4"/>
      <c r="C47" s="90"/>
      <c r="P47" s="4"/>
      <c r="T47" s="1829"/>
    </row>
    <row r="48" spans="1:37" s="1" customFormat="1" ht="23.25" customHeight="1" thickTop="1" thickBot="1">
      <c r="A48" s="3445" t="s">
        <v>643</v>
      </c>
      <c r="B48" s="3446"/>
      <c r="C48" s="3447"/>
      <c r="D48" s="2747" t="str">
        <f>'2.Ventas y Cobros (Ej 1º,2º)'!D8</f>
        <v>Enero</v>
      </c>
      <c r="E48" s="2733" t="str">
        <f>'2.Ventas y Cobros (Ej 1º,2º)'!E8</f>
        <v>Febrero</v>
      </c>
      <c r="F48" s="2733" t="str">
        <f>'2.Ventas y Cobros (Ej 1º,2º)'!F8</f>
        <v>Marzo</v>
      </c>
      <c r="G48" s="2733" t="str">
        <f>'2.Ventas y Cobros (Ej 1º,2º)'!G8</f>
        <v>Abril</v>
      </c>
      <c r="H48" s="2733" t="str">
        <f>'2.Ventas y Cobros (Ej 1º,2º)'!H8</f>
        <v>Mayo</v>
      </c>
      <c r="I48" s="2733" t="str">
        <f>'2.Ventas y Cobros (Ej 1º,2º)'!I8</f>
        <v>Junio</v>
      </c>
      <c r="J48" s="2733" t="str">
        <f>'2.Ventas y Cobros (Ej 1º,2º)'!J8</f>
        <v>Julio</v>
      </c>
      <c r="K48" s="2733" t="str">
        <f>'2.Ventas y Cobros (Ej 1º,2º)'!K8</f>
        <v>Agosto</v>
      </c>
      <c r="L48" s="2733" t="str">
        <f>'2.Ventas y Cobros (Ej 1º,2º)'!L8</f>
        <v>Septiembre</v>
      </c>
      <c r="M48" s="2733" t="str">
        <f>'2.Ventas y Cobros (Ej 1º,2º)'!M8</f>
        <v>Octubre</v>
      </c>
      <c r="N48" s="2733" t="str">
        <f>'2.Ventas y Cobros (Ej 1º,2º)'!N8</f>
        <v>Noviembre</v>
      </c>
      <c r="O48" s="2730" t="str">
        <f>'2.Ventas y Cobros (Ej 1º,2º)'!O8</f>
        <v>Diciembre</v>
      </c>
      <c r="P48" s="1865" t="s">
        <v>7</v>
      </c>
      <c r="T48" s="1829"/>
      <c r="Y48" s="2753" t="str">
        <f>'2.Ventas y Cobros (Ej 1º,2º)'!W79</f>
        <v>Enero</v>
      </c>
      <c r="Z48" s="2733" t="str">
        <f>'2.Ventas y Cobros (Ej 1º,2º)'!X79</f>
        <v>Febrero</v>
      </c>
      <c r="AA48" s="2733" t="str">
        <f>'2.Ventas y Cobros (Ej 1º,2º)'!Y79</f>
        <v>Marzo</v>
      </c>
      <c r="AB48" s="2733" t="str">
        <f>'2.Ventas y Cobros (Ej 1º,2º)'!Z79</f>
        <v>Abril</v>
      </c>
      <c r="AC48" s="2733" t="str">
        <f>'2.Ventas y Cobros (Ej 1º,2º)'!AA79</f>
        <v>Mayo</v>
      </c>
      <c r="AD48" s="2733" t="str">
        <f>'2.Ventas y Cobros (Ej 1º,2º)'!AB79</f>
        <v>Junio</v>
      </c>
      <c r="AE48" s="2733" t="str">
        <f>'2.Ventas y Cobros (Ej 1º,2º)'!AC79</f>
        <v>Julio</v>
      </c>
      <c r="AF48" s="2733" t="str">
        <f>'2.Ventas y Cobros (Ej 1º,2º)'!AD79</f>
        <v>Agosto</v>
      </c>
      <c r="AG48" s="2733" t="str">
        <f>'2.Ventas y Cobros (Ej 1º,2º)'!AE79</f>
        <v>Septiembre</v>
      </c>
      <c r="AH48" s="2733" t="str">
        <f>'2.Ventas y Cobros (Ej 1º,2º)'!AF79</f>
        <v>Octubre</v>
      </c>
      <c r="AI48" s="2733" t="str">
        <f>'2.Ventas y Cobros (Ej 1º,2º)'!AG79</f>
        <v>Noviembre</v>
      </c>
      <c r="AJ48" s="1864" t="str">
        <f>'2.Ventas y Cobros (Ej 1º,2º)'!AH79</f>
        <v>Diciembre</v>
      </c>
      <c r="AK48" s="1865" t="s">
        <v>7</v>
      </c>
    </row>
    <row r="49" spans="1:37" s="1" customFormat="1" ht="19.5" customHeight="1" thickBot="1">
      <c r="A49" s="3448"/>
      <c r="B49" s="3449"/>
      <c r="C49" s="3450"/>
      <c r="D49" s="2748">
        <f>'3.Costes D.V. y Pagos (1º,2º)'!D25+'3.Costes D.V. y Pagos (1º,2º)'!D26+('3.Costes D.V. y Pagos (1º,2º)'!D37+'3.Costes D.V. y Pagos (1º,2º)'!D38)</f>
        <v>0</v>
      </c>
      <c r="E49" s="2749">
        <f>'3.Costes D.V. y Pagos (1º,2º)'!E25+'3.Costes D.V. y Pagos (1º,2º)'!E26+('3.Costes D.V. y Pagos (1º,2º)'!E37+'3.Costes D.V. y Pagos (1º,2º)'!E38)</f>
        <v>0</v>
      </c>
      <c r="F49" s="2749">
        <f>'3.Costes D.V. y Pagos (1º,2º)'!F25+'3.Costes D.V. y Pagos (1º,2º)'!F26+('3.Costes D.V. y Pagos (1º,2º)'!F37+'3.Costes D.V. y Pagos (1º,2º)'!F38)</f>
        <v>0</v>
      </c>
      <c r="G49" s="2749">
        <f>'3.Costes D.V. y Pagos (1º,2º)'!G25+'3.Costes D.V. y Pagos (1º,2º)'!G26+('3.Costes D.V. y Pagos (1º,2º)'!G37+'3.Costes D.V. y Pagos (1º,2º)'!G38)</f>
        <v>0</v>
      </c>
      <c r="H49" s="2749">
        <f>'3.Costes D.V. y Pagos (1º,2º)'!H25+'3.Costes D.V. y Pagos (1º,2º)'!H26+('3.Costes D.V. y Pagos (1º,2º)'!H37+'3.Costes D.V. y Pagos (1º,2º)'!H38)</f>
        <v>0</v>
      </c>
      <c r="I49" s="2749">
        <f>'3.Costes D.V. y Pagos (1º,2º)'!I25+'3.Costes D.V. y Pagos (1º,2º)'!I26+('3.Costes D.V. y Pagos (1º,2º)'!I37+'3.Costes D.V. y Pagos (1º,2º)'!I38)</f>
        <v>0</v>
      </c>
      <c r="J49" s="2749">
        <f>'3.Costes D.V. y Pagos (1º,2º)'!J25+'3.Costes D.V. y Pagos (1º,2º)'!J26+('3.Costes D.V. y Pagos (1º,2º)'!J37+'3.Costes D.V. y Pagos (1º,2º)'!J38)</f>
        <v>0</v>
      </c>
      <c r="K49" s="2749">
        <f>'3.Costes D.V. y Pagos (1º,2º)'!K25+'3.Costes D.V. y Pagos (1º,2º)'!K26+('3.Costes D.V. y Pagos (1º,2º)'!K37+'3.Costes D.V. y Pagos (1º,2º)'!K38)</f>
        <v>0</v>
      </c>
      <c r="L49" s="2749">
        <f>'3.Costes D.V. y Pagos (1º,2º)'!L25+'3.Costes D.V. y Pagos (1º,2º)'!L26+('3.Costes D.V. y Pagos (1º,2º)'!L37+'3.Costes D.V. y Pagos (1º,2º)'!L38)</f>
        <v>0</v>
      </c>
      <c r="M49" s="2749">
        <f>'3.Costes D.V. y Pagos (1º,2º)'!M25+'3.Costes D.V. y Pagos (1º,2º)'!M26+('3.Costes D.V. y Pagos (1º,2º)'!M37+'3.Costes D.V. y Pagos (1º,2º)'!M38)</f>
        <v>0</v>
      </c>
      <c r="N49" s="2749">
        <f>'3.Costes D.V. y Pagos (1º,2º)'!N25+'3.Costes D.V. y Pagos (1º,2º)'!N26+('3.Costes D.V. y Pagos (1º,2º)'!N37+'3.Costes D.V. y Pagos (1º,2º)'!N38)</f>
        <v>0</v>
      </c>
      <c r="O49" s="814">
        <f>'3.Costes D.V. y Pagos (1º,2º)'!O25+'3.Costes D.V. y Pagos (1º,2º)'!O26+('3.Costes D.V. y Pagos (1º,2º)'!O37+'3.Costes D.V. y Pagos (1º,2º)'!O38)</f>
        <v>0</v>
      </c>
      <c r="P49" s="815">
        <f>SUM(D49:O49)</f>
        <v>0</v>
      </c>
      <c r="T49" s="1829"/>
      <c r="Y49" s="2754">
        <f>('3.Costes D.V. y Pagos (1º,2º)'!Y25+'3.Costes D.V. y Pagos (1º,2º)'!Y26+('3.Costes D.V. y Pagos (1º,2º)'!Y38+'3.Costes D.V. y Pagos (1º,2º)'!Y37))</f>
        <v>0</v>
      </c>
      <c r="Z49" s="2749">
        <f>('3.Costes D.V. y Pagos (1º,2º)'!Z25+'3.Costes D.V. y Pagos (1º,2º)'!Z26+('3.Costes D.V. y Pagos (1º,2º)'!Z38+'3.Costes D.V. y Pagos (1º,2º)'!Z37))</f>
        <v>0</v>
      </c>
      <c r="AA49" s="2749">
        <f>('3.Costes D.V. y Pagos (1º,2º)'!AA25+'3.Costes D.V. y Pagos (1º,2º)'!AA26+('3.Costes D.V. y Pagos (1º,2º)'!AA38+'3.Costes D.V. y Pagos (1º,2º)'!AA37))</f>
        <v>0</v>
      </c>
      <c r="AB49" s="2749">
        <f>('3.Costes D.V. y Pagos (1º,2º)'!AB25+'3.Costes D.V. y Pagos (1º,2º)'!AB26+('3.Costes D.V. y Pagos (1º,2º)'!AB38+'3.Costes D.V. y Pagos (1º,2º)'!AB37))</f>
        <v>0</v>
      </c>
      <c r="AC49" s="2749">
        <f>('3.Costes D.V. y Pagos (1º,2º)'!AC25+'3.Costes D.V. y Pagos (1º,2º)'!AC26+('3.Costes D.V. y Pagos (1º,2º)'!AC38+'3.Costes D.V. y Pagos (1º,2º)'!AC37))</f>
        <v>0</v>
      </c>
      <c r="AD49" s="2749">
        <f>('3.Costes D.V. y Pagos (1º,2º)'!AD25+'3.Costes D.V. y Pagos (1º,2º)'!AD26+('3.Costes D.V. y Pagos (1º,2º)'!AD38+'3.Costes D.V. y Pagos (1º,2º)'!AD37))</f>
        <v>0</v>
      </c>
      <c r="AE49" s="2749">
        <f>('3.Costes D.V. y Pagos (1º,2º)'!AE25+'3.Costes D.V. y Pagos (1º,2º)'!AE26+('3.Costes D.V. y Pagos (1º,2º)'!AE38+'3.Costes D.V. y Pagos (1º,2º)'!AE37))</f>
        <v>0</v>
      </c>
      <c r="AF49" s="2749">
        <f>('3.Costes D.V. y Pagos (1º,2º)'!AF25+'3.Costes D.V. y Pagos (1º,2º)'!AF26+('3.Costes D.V. y Pagos (1º,2º)'!AF38+'3.Costes D.V. y Pagos (1º,2º)'!AF37))</f>
        <v>0</v>
      </c>
      <c r="AG49" s="2749">
        <f>('3.Costes D.V. y Pagos (1º,2º)'!AG25+'3.Costes D.V. y Pagos (1º,2º)'!AG26+('3.Costes D.V. y Pagos (1º,2º)'!AG38+'3.Costes D.V. y Pagos (1º,2º)'!AG37))</f>
        <v>0</v>
      </c>
      <c r="AH49" s="2749">
        <f>('3.Costes D.V. y Pagos (1º,2º)'!AH25+'3.Costes D.V. y Pagos (1º,2º)'!AH26+('3.Costes D.V. y Pagos (1º,2º)'!AH38+'3.Costes D.V. y Pagos (1º,2º)'!AH37))</f>
        <v>0</v>
      </c>
      <c r="AI49" s="2749">
        <f>('3.Costes D.V. y Pagos (1º,2º)'!AI25+'3.Costes D.V. y Pagos (1º,2º)'!AI26+('3.Costes D.V. y Pagos (1º,2º)'!AI38+'3.Costes D.V. y Pagos (1º,2º)'!AI37))</f>
        <v>0</v>
      </c>
      <c r="AJ49" s="814">
        <f>('3.Costes D.V. y Pagos (1º,2º)'!AJ25+'3.Costes D.V. y Pagos (1º,2º)'!AJ26+('3.Costes D.V. y Pagos (1º,2º)'!AJ38+'3.Costes D.V. y Pagos (1º,2º)'!AJ37))</f>
        <v>0</v>
      </c>
      <c r="AK49" s="815">
        <f>SUM(Y49:AJ49)</f>
        <v>0</v>
      </c>
    </row>
    <row r="50" spans="1:37" ht="18.75" customHeight="1" thickTop="1"/>
    <row r="51" spans="1:37" ht="18.75" customHeight="1" thickBot="1">
      <c r="D51" s="3427" t="s">
        <v>636</v>
      </c>
      <c r="E51" s="3428"/>
      <c r="F51" s="3428"/>
      <c r="G51" s="488"/>
      <c r="H51" s="488"/>
      <c r="I51" s="488"/>
      <c r="Y51" s="3427" t="s">
        <v>636</v>
      </c>
      <c r="Z51" s="3428"/>
      <c r="AA51" s="3428"/>
      <c r="AB51" s="488"/>
      <c r="AC51" s="488"/>
      <c r="AD51" s="488"/>
    </row>
    <row r="52" spans="1:37" ht="27" customHeight="1" thickTop="1" thickBot="1">
      <c r="D52" s="3355" t="s">
        <v>159</v>
      </c>
      <c r="E52" s="3356"/>
      <c r="F52" s="3356"/>
      <c r="G52" s="3399" t="s">
        <v>205</v>
      </c>
      <c r="H52" s="3456"/>
      <c r="I52" s="3457"/>
      <c r="Y52" s="3462" t="s">
        <v>159</v>
      </c>
      <c r="Z52" s="3463"/>
      <c r="AA52" s="3463"/>
      <c r="AB52" s="3464" t="s">
        <v>205</v>
      </c>
      <c r="AC52" s="3465"/>
      <c r="AD52" s="3466"/>
    </row>
    <row r="53" spans="1:37" ht="18.75" customHeight="1" thickTop="1">
      <c r="D53" s="3396" t="s">
        <v>55</v>
      </c>
      <c r="E53" s="3397"/>
      <c r="F53" s="3398"/>
      <c r="G53" s="3424">
        <v>1</v>
      </c>
      <c r="H53" s="3458"/>
      <c r="I53" s="3459"/>
      <c r="Y53" s="3396" t="s">
        <v>55</v>
      </c>
      <c r="Z53" s="3397"/>
      <c r="AA53" s="3398"/>
      <c r="AB53" s="3424">
        <f>G53</f>
        <v>1</v>
      </c>
      <c r="AC53" s="3500"/>
      <c r="AD53" s="3501"/>
    </row>
    <row r="54" spans="1:37" ht="18.75" customHeight="1">
      <c r="D54" s="3365" t="s">
        <v>56</v>
      </c>
      <c r="E54" s="3366"/>
      <c r="F54" s="3367"/>
      <c r="G54" s="3378"/>
      <c r="H54" s="3438"/>
      <c r="I54" s="3439"/>
      <c r="Y54" s="3365" t="s">
        <v>56</v>
      </c>
      <c r="Z54" s="3366"/>
      <c r="AA54" s="3367"/>
      <c r="AB54" s="3378">
        <f>G54</f>
        <v>0</v>
      </c>
      <c r="AC54" s="3379"/>
      <c r="AD54" s="3380"/>
    </row>
    <row r="55" spans="1:37" ht="18.75" customHeight="1">
      <c r="D55" s="3365" t="s">
        <v>266</v>
      </c>
      <c r="E55" s="3366"/>
      <c r="F55" s="3367"/>
      <c r="G55" s="3378"/>
      <c r="H55" s="3438"/>
      <c r="I55" s="3439"/>
      <c r="K55" s="1415"/>
      <c r="Y55" s="3365" t="s">
        <v>266</v>
      </c>
      <c r="Z55" s="3366"/>
      <c r="AA55" s="3367"/>
      <c r="AB55" s="3378">
        <f>'3.Costes D.V. y Pagos (1º,2º)'!G55</f>
        <v>0</v>
      </c>
      <c r="AC55" s="3379"/>
      <c r="AD55" s="3380"/>
    </row>
    <row r="56" spans="1:37" ht="18.75" customHeight="1">
      <c r="D56" s="3365" t="s">
        <v>57</v>
      </c>
      <c r="E56" s="3366"/>
      <c r="F56" s="3367"/>
      <c r="G56" s="3378"/>
      <c r="H56" s="3438"/>
      <c r="I56" s="3439"/>
      <c r="Y56" s="3365" t="s">
        <v>57</v>
      </c>
      <c r="Z56" s="3366"/>
      <c r="AA56" s="3367"/>
      <c r="AB56" s="3378">
        <f>'3.Costes D.V. y Pagos (1º,2º)'!G56</f>
        <v>0</v>
      </c>
      <c r="AC56" s="3379"/>
      <c r="AD56" s="3380"/>
    </row>
    <row r="57" spans="1:37" ht="18.75" customHeight="1">
      <c r="D57" s="3365" t="s">
        <v>58</v>
      </c>
      <c r="E57" s="3366"/>
      <c r="F57" s="3367"/>
      <c r="G57" s="3378"/>
      <c r="H57" s="3438"/>
      <c r="I57" s="3439"/>
      <c r="Y57" s="3365" t="s">
        <v>58</v>
      </c>
      <c r="Z57" s="3366"/>
      <c r="AA57" s="3367"/>
      <c r="AB57" s="3378">
        <f>'3.Costes D.V. y Pagos (1º,2º)'!G57</f>
        <v>0</v>
      </c>
      <c r="AC57" s="3379"/>
      <c r="AD57" s="3380"/>
    </row>
    <row r="58" spans="1:37" ht="18.75" customHeight="1">
      <c r="D58" s="3365" t="s">
        <v>59</v>
      </c>
      <c r="E58" s="3366"/>
      <c r="F58" s="3367"/>
      <c r="G58" s="3378"/>
      <c r="H58" s="3438"/>
      <c r="I58" s="3439"/>
      <c r="Y58" s="3365" t="s">
        <v>59</v>
      </c>
      <c r="Z58" s="3366"/>
      <c r="AA58" s="3367"/>
      <c r="AB58" s="3378">
        <f>'3.Costes D.V. y Pagos (1º,2º)'!G58</f>
        <v>0</v>
      </c>
      <c r="AC58" s="3379"/>
      <c r="AD58" s="3380"/>
    </row>
    <row r="59" spans="1:37" ht="18.75" customHeight="1">
      <c r="D59" s="3365" t="s">
        <v>60</v>
      </c>
      <c r="E59" s="3366"/>
      <c r="F59" s="3367"/>
      <c r="G59" s="3378"/>
      <c r="H59" s="3438"/>
      <c r="I59" s="3439"/>
      <c r="Y59" s="3365" t="s">
        <v>60</v>
      </c>
      <c r="Z59" s="3366"/>
      <c r="AA59" s="3367"/>
      <c r="AB59" s="3378">
        <f>'3.Costes D.V. y Pagos (1º,2º)'!G59</f>
        <v>0</v>
      </c>
      <c r="AC59" s="3379"/>
      <c r="AD59" s="3380"/>
    </row>
    <row r="60" spans="1:37" ht="18.75" customHeight="1">
      <c r="D60" s="3365" t="s">
        <v>61</v>
      </c>
      <c r="E60" s="3366"/>
      <c r="F60" s="3367"/>
      <c r="G60" s="3378"/>
      <c r="H60" s="3438"/>
      <c r="I60" s="3439"/>
      <c r="Y60" s="3365" t="s">
        <v>61</v>
      </c>
      <c r="Z60" s="3366"/>
      <c r="AA60" s="3367"/>
      <c r="AB60" s="3378">
        <f>'3.Costes D.V. y Pagos (1º,2º)'!G60</f>
        <v>0</v>
      </c>
      <c r="AC60" s="3379"/>
      <c r="AD60" s="3380"/>
    </row>
    <row r="61" spans="1:37" ht="18.75" customHeight="1" thickBot="1">
      <c r="D61" s="3365" t="s">
        <v>267</v>
      </c>
      <c r="E61" s="3366"/>
      <c r="F61" s="3367"/>
      <c r="G61" s="3419"/>
      <c r="H61" s="3492"/>
      <c r="I61" s="3493"/>
      <c r="Y61" s="3365" t="s">
        <v>267</v>
      </c>
      <c r="Z61" s="3366"/>
      <c r="AA61" s="3367"/>
      <c r="AB61" s="3419">
        <f>'3.Costes D.V. y Pagos (1º,2º)'!G61</f>
        <v>0</v>
      </c>
      <c r="AC61" s="3490"/>
      <c r="AD61" s="3491"/>
    </row>
    <row r="62" spans="1:37" ht="18.75" customHeight="1" thickTop="1" thickBot="1">
      <c r="D62" s="3386" t="s">
        <v>150</v>
      </c>
      <c r="E62" s="3387"/>
      <c r="F62" s="3388"/>
      <c r="G62" s="3389">
        <f>SUM(G53:I61)</f>
        <v>1</v>
      </c>
      <c r="H62" s="3390"/>
      <c r="I62" s="3391"/>
      <c r="Y62" s="3386" t="s">
        <v>150</v>
      </c>
      <c r="Z62" s="3387"/>
      <c r="AA62" s="3388"/>
      <c r="AB62" s="3389">
        <f>SUM(AB53:AD61)</f>
        <v>1</v>
      </c>
      <c r="AC62" s="3390"/>
      <c r="AD62" s="3391"/>
    </row>
    <row r="63" spans="1:37" ht="18.75" customHeight="1" thickTop="1">
      <c r="D63" s="1731"/>
      <c r="E63" s="1673"/>
      <c r="F63" s="1673"/>
      <c r="G63" s="1732"/>
      <c r="H63" s="159"/>
      <c r="I63" s="159"/>
      <c r="Y63" s="1731"/>
      <c r="Z63" s="1673"/>
      <c r="AA63" s="1673"/>
      <c r="AB63" s="1732"/>
      <c r="AC63" s="159"/>
      <c r="AD63" s="159"/>
    </row>
    <row r="64" spans="1:37" ht="18.75" customHeight="1" thickBot="1">
      <c r="D64" s="1731"/>
      <c r="E64" s="1673"/>
      <c r="F64" s="1673"/>
      <c r="G64" s="1732"/>
      <c r="H64" s="159"/>
      <c r="I64" s="159"/>
      <c r="Y64" s="1731"/>
      <c r="Z64" s="1673"/>
      <c r="AA64" s="1673"/>
      <c r="AB64" s="1732"/>
      <c r="AC64" s="159"/>
      <c r="AD64" s="159"/>
    </row>
    <row r="65" spans="1:39" s="1" customFormat="1" ht="18" hidden="1" thickTop="1" thickBot="1">
      <c r="B65" s="1580"/>
      <c r="C65" s="1853" t="s">
        <v>159</v>
      </c>
      <c r="D65" s="1854" t="str">
        <f>'3.Costes D.V. y Pagos (1º,2º)'!D48</f>
        <v>Enero</v>
      </c>
      <c r="E65" s="1855" t="str">
        <f>'3.Costes D.V. y Pagos (1º,2º)'!E48</f>
        <v>Febrero</v>
      </c>
      <c r="F65" s="1855" t="str">
        <f>'3.Costes D.V. y Pagos (1º,2º)'!F48</f>
        <v>Marzo</v>
      </c>
      <c r="G65" s="1855" t="str">
        <f>'3.Costes D.V. y Pagos (1º,2º)'!G48</f>
        <v>Abril</v>
      </c>
      <c r="H65" s="1855" t="str">
        <f>'3.Costes D.V. y Pagos (1º,2º)'!H48</f>
        <v>Mayo</v>
      </c>
      <c r="I65" s="1855" t="str">
        <f>'3.Costes D.V. y Pagos (1º,2º)'!I48</f>
        <v>Junio</v>
      </c>
      <c r="J65" s="1855" t="str">
        <f>'3.Costes D.V. y Pagos (1º,2º)'!J48</f>
        <v>Julio</v>
      </c>
      <c r="K65" s="1855" t="str">
        <f>'3.Costes D.V. y Pagos (1º,2º)'!K48</f>
        <v>Agosto</v>
      </c>
      <c r="L65" s="1855" t="str">
        <f>'3.Costes D.V. y Pagos (1º,2º)'!L48</f>
        <v>Septiembre</v>
      </c>
      <c r="M65" s="1855" t="str">
        <f>'3.Costes D.V. y Pagos (1º,2º)'!M48</f>
        <v>Octubre</v>
      </c>
      <c r="N65" s="1855" t="str">
        <f>'3.Costes D.V. y Pagos (1º,2º)'!N48</f>
        <v>Noviembre</v>
      </c>
      <c r="O65" s="1856" t="str">
        <f>'3.Costes D.V. y Pagos (1º,2º)'!O48</f>
        <v>Diciembre</v>
      </c>
      <c r="P65" s="1823" t="str">
        <f>'3.Costes D.V. y Pagos (1º,2º)'!P48</f>
        <v>Total</v>
      </c>
      <c r="Q65" s="796"/>
      <c r="T65" s="1829"/>
      <c r="V65" s="587"/>
      <c r="W65" s="1672"/>
      <c r="X65" s="1672"/>
      <c r="Y65" s="1851" t="str">
        <f>'3.Costes D.V. y Pagos (1º,2º)'!Y48</f>
        <v>Enero</v>
      </c>
      <c r="Z65" s="813" t="str">
        <f>'3.Costes D.V. y Pagos (1º,2º)'!Z48</f>
        <v>Febrero</v>
      </c>
      <c r="AA65" s="813" t="str">
        <f>'3.Costes D.V. y Pagos (1º,2º)'!AA48</f>
        <v>Marzo</v>
      </c>
      <c r="AB65" s="813" t="str">
        <f>'3.Costes D.V. y Pagos (1º,2º)'!AB48</f>
        <v>Abril</v>
      </c>
      <c r="AC65" s="813" t="str">
        <f>'3.Costes D.V. y Pagos (1º,2º)'!AC48</f>
        <v>Mayo</v>
      </c>
      <c r="AD65" s="813" t="str">
        <f>'3.Costes D.V. y Pagos (1º,2º)'!AD48</f>
        <v>Junio</v>
      </c>
      <c r="AE65" s="813" t="str">
        <f>'3.Costes D.V. y Pagos (1º,2º)'!AE48</f>
        <v>Julio</v>
      </c>
      <c r="AF65" s="813" t="str">
        <f>'3.Costes D.V. y Pagos (1º,2º)'!AF48</f>
        <v>Agosto</v>
      </c>
      <c r="AG65" s="813" t="str">
        <f>'3.Costes D.V. y Pagos (1º,2º)'!AG48</f>
        <v>Septiembre</v>
      </c>
      <c r="AH65" s="813" t="str">
        <f>'3.Costes D.V. y Pagos (1º,2º)'!AH48</f>
        <v>Octubre</v>
      </c>
      <c r="AI65" s="813" t="str">
        <f>'3.Costes D.V. y Pagos (1º,2º)'!AI48</f>
        <v>Noviembre</v>
      </c>
      <c r="AJ65" s="1852" t="str">
        <f>'3.Costes D.V. y Pagos (1º,2º)'!AJ48</f>
        <v>Diciembre</v>
      </c>
      <c r="AK65" s="795" t="str">
        <f>'3.Costes D.V. y Pagos (1º,2º)'!AK48</f>
        <v>Total</v>
      </c>
      <c r="AL65" s="796"/>
    </row>
    <row r="66" spans="1:39" s="1676" customFormat="1" ht="16.5" hidden="1">
      <c r="B66" s="1714"/>
      <c r="C66" s="1677" t="s">
        <v>55</v>
      </c>
      <c r="D66" s="816">
        <f>'3.Costes D.V. y Pagos (1º,2º)'!D$49*'3.Costes D.V. y Pagos (1º,2º)'!$G53</f>
        <v>0</v>
      </c>
      <c r="E66" s="817">
        <f>'3.Costes D.V. y Pagos (1º,2º)'!E$49*'3.Costes D.V. y Pagos (1º,2º)'!$G53</f>
        <v>0</v>
      </c>
      <c r="F66" s="817">
        <f>'3.Costes D.V. y Pagos (1º,2º)'!F$49*'3.Costes D.V. y Pagos (1º,2º)'!$G53</f>
        <v>0</v>
      </c>
      <c r="G66" s="817">
        <f>'3.Costes D.V. y Pagos (1º,2º)'!G$49*'3.Costes D.V. y Pagos (1º,2º)'!$G53</f>
        <v>0</v>
      </c>
      <c r="H66" s="817">
        <f>'3.Costes D.V. y Pagos (1º,2º)'!H$49*'3.Costes D.V. y Pagos (1º,2º)'!$G53</f>
        <v>0</v>
      </c>
      <c r="I66" s="817">
        <f>'3.Costes D.V. y Pagos (1º,2º)'!I$49*'3.Costes D.V. y Pagos (1º,2º)'!$G53</f>
        <v>0</v>
      </c>
      <c r="J66" s="817">
        <f>'3.Costes D.V. y Pagos (1º,2º)'!J$49*'3.Costes D.V. y Pagos (1º,2º)'!$G53</f>
        <v>0</v>
      </c>
      <c r="K66" s="817">
        <f>'3.Costes D.V. y Pagos (1º,2º)'!K$49*'3.Costes D.V. y Pagos (1º,2º)'!$G53</f>
        <v>0</v>
      </c>
      <c r="L66" s="817">
        <f>'3.Costes D.V. y Pagos (1º,2º)'!L$49*'3.Costes D.V. y Pagos (1º,2º)'!$G53</f>
        <v>0</v>
      </c>
      <c r="M66" s="817">
        <f>'3.Costes D.V. y Pagos (1º,2º)'!M$49*'3.Costes D.V. y Pagos (1º,2º)'!$G53</f>
        <v>0</v>
      </c>
      <c r="N66" s="817">
        <f>'3.Costes D.V. y Pagos (1º,2º)'!N$49*'3.Costes D.V. y Pagos (1º,2º)'!$G53</f>
        <v>0</v>
      </c>
      <c r="O66" s="818">
        <f>'3.Costes D.V. y Pagos (1º,2º)'!O$49*'3.Costes D.V. y Pagos (1º,2º)'!$G53</f>
        <v>0</v>
      </c>
      <c r="P66" s="819">
        <f t="shared" ref="P66:P74" si="6">SUM(D66:O66)</f>
        <v>0</v>
      </c>
      <c r="Q66" s="1682"/>
      <c r="T66" s="1833"/>
      <c r="Y66" s="1848">
        <f>'3.Costes D.V. y Pagos (1º,2º)'!Y$49*'3.Costes D.V. y Pagos (1º,2º)'!$AB53</f>
        <v>0</v>
      </c>
      <c r="Z66" s="1849">
        <f>'3.Costes D.V. y Pagos (1º,2º)'!Z$49*'3.Costes D.V. y Pagos (1º,2º)'!$AB53</f>
        <v>0</v>
      </c>
      <c r="AA66" s="1849">
        <f>'3.Costes D.V. y Pagos (1º,2º)'!AA$49*'3.Costes D.V. y Pagos (1º,2º)'!$AB53</f>
        <v>0</v>
      </c>
      <c r="AB66" s="1849">
        <f>'3.Costes D.V. y Pagos (1º,2º)'!AB$49*'3.Costes D.V. y Pagos (1º,2º)'!$AB53</f>
        <v>0</v>
      </c>
      <c r="AC66" s="1849">
        <f>'3.Costes D.V. y Pagos (1º,2º)'!AC$49*'3.Costes D.V. y Pagos (1º,2º)'!$AB53</f>
        <v>0</v>
      </c>
      <c r="AD66" s="1849">
        <f>'3.Costes D.V. y Pagos (1º,2º)'!AD$49*'3.Costes D.V. y Pagos (1º,2º)'!$AB53</f>
        <v>0</v>
      </c>
      <c r="AE66" s="1849">
        <f>'3.Costes D.V. y Pagos (1º,2º)'!AE$49*'3.Costes D.V. y Pagos (1º,2º)'!$AB53</f>
        <v>0</v>
      </c>
      <c r="AF66" s="1849">
        <f>'3.Costes D.V. y Pagos (1º,2º)'!AF$49*'3.Costes D.V. y Pagos (1º,2º)'!$AB53</f>
        <v>0</v>
      </c>
      <c r="AG66" s="1849">
        <f>'3.Costes D.V. y Pagos (1º,2º)'!AG$49*'3.Costes D.V. y Pagos (1º,2º)'!$AB53</f>
        <v>0</v>
      </c>
      <c r="AH66" s="1849">
        <f>'3.Costes D.V. y Pagos (1º,2º)'!AH$49*'3.Costes D.V. y Pagos (1º,2º)'!$AB53</f>
        <v>0</v>
      </c>
      <c r="AI66" s="1849">
        <f>'3.Costes D.V. y Pagos (1º,2º)'!AI$49*'3.Costes D.V. y Pagos (1º,2º)'!$AB53</f>
        <v>0</v>
      </c>
      <c r="AJ66" s="1850">
        <f>'3.Costes D.V. y Pagos (1º,2º)'!AJ$49*'3.Costes D.V. y Pagos (1º,2º)'!$AB53</f>
        <v>0</v>
      </c>
      <c r="AK66" s="819">
        <f t="shared" ref="AK66:AK74" si="7">SUM(Y66:AJ66)</f>
        <v>0</v>
      </c>
      <c r="AL66" s="1682"/>
    </row>
    <row r="67" spans="1:39" s="1676" customFormat="1" ht="16.5" hidden="1">
      <c r="B67" s="1714"/>
      <c r="C67" s="1677" t="s">
        <v>56</v>
      </c>
      <c r="D67" s="816"/>
      <c r="E67" s="817">
        <f>'3.Costes D.V. y Pagos (1º,2º)'!D$49*'3.Costes D.V. y Pagos (1º,2º)'!$G54</f>
        <v>0</v>
      </c>
      <c r="F67" s="817">
        <f>'3.Costes D.V. y Pagos (1º,2º)'!E$49*'3.Costes D.V. y Pagos (1º,2º)'!$G54</f>
        <v>0</v>
      </c>
      <c r="G67" s="817">
        <f>'3.Costes D.V. y Pagos (1º,2º)'!F$49*'3.Costes D.V. y Pagos (1º,2º)'!$G54</f>
        <v>0</v>
      </c>
      <c r="H67" s="817">
        <f>'3.Costes D.V. y Pagos (1º,2º)'!G$49*'3.Costes D.V. y Pagos (1º,2º)'!$G54</f>
        <v>0</v>
      </c>
      <c r="I67" s="817">
        <f>'3.Costes D.V. y Pagos (1º,2º)'!H$49*'3.Costes D.V. y Pagos (1º,2º)'!$G54</f>
        <v>0</v>
      </c>
      <c r="J67" s="817">
        <f>'3.Costes D.V. y Pagos (1º,2º)'!I$49*'3.Costes D.V. y Pagos (1º,2º)'!$G54</f>
        <v>0</v>
      </c>
      <c r="K67" s="817">
        <f>'3.Costes D.V. y Pagos (1º,2º)'!J$49*'3.Costes D.V. y Pagos (1º,2º)'!$G54</f>
        <v>0</v>
      </c>
      <c r="L67" s="817">
        <f>'3.Costes D.V. y Pagos (1º,2º)'!K$49*'3.Costes D.V. y Pagos (1º,2º)'!$G54</f>
        <v>0</v>
      </c>
      <c r="M67" s="817">
        <f>'3.Costes D.V. y Pagos (1º,2º)'!L$49*'3.Costes D.V. y Pagos (1º,2º)'!$G54</f>
        <v>0</v>
      </c>
      <c r="N67" s="817">
        <f>'3.Costes D.V. y Pagos (1º,2º)'!M$49*'3.Costes D.V. y Pagos (1º,2º)'!$G54</f>
        <v>0</v>
      </c>
      <c r="O67" s="818">
        <f>'3.Costes D.V. y Pagos (1º,2º)'!N$49*'3.Costes D.V. y Pagos (1º,2º)'!$G54</f>
        <v>0</v>
      </c>
      <c r="P67" s="819">
        <f t="shared" si="6"/>
        <v>0</v>
      </c>
      <c r="Q67" s="1685"/>
      <c r="T67" s="1833"/>
      <c r="Y67" s="1768">
        <f>'3.Costes D.V. y Pagos (1º,2º)'!O49*'3.Costes D.V. y Pagos (1º,2º)'!G54</f>
        <v>0</v>
      </c>
      <c r="Z67" s="797">
        <f>'3.Costes D.V. y Pagos (1º,2º)'!Y$49*'3.Costes D.V. y Pagos (1º,2º)'!$AB54</f>
        <v>0</v>
      </c>
      <c r="AA67" s="797">
        <f>'3.Costes D.V. y Pagos (1º,2º)'!Z$49*'3.Costes D.V. y Pagos (1º,2º)'!$AB54</f>
        <v>0</v>
      </c>
      <c r="AB67" s="797">
        <f>'3.Costes D.V. y Pagos (1º,2º)'!AA$49*'3.Costes D.V. y Pagos (1º,2º)'!$AB54</f>
        <v>0</v>
      </c>
      <c r="AC67" s="797">
        <f>'3.Costes D.V. y Pagos (1º,2º)'!AB$49*'3.Costes D.V. y Pagos (1º,2º)'!$AB54</f>
        <v>0</v>
      </c>
      <c r="AD67" s="797">
        <f>'3.Costes D.V. y Pagos (1º,2º)'!AC$49*'3.Costes D.V. y Pagos (1º,2º)'!$AB54</f>
        <v>0</v>
      </c>
      <c r="AE67" s="797">
        <f>'3.Costes D.V. y Pagos (1º,2º)'!AD$49*'3.Costes D.V. y Pagos (1º,2º)'!$AB54</f>
        <v>0</v>
      </c>
      <c r="AF67" s="797">
        <f>'3.Costes D.V. y Pagos (1º,2º)'!AE$49*'3.Costes D.V. y Pagos (1º,2º)'!$AB54</f>
        <v>0</v>
      </c>
      <c r="AG67" s="797">
        <f>'3.Costes D.V. y Pagos (1º,2º)'!AF$49*'3.Costes D.V. y Pagos (1º,2º)'!$AB54</f>
        <v>0</v>
      </c>
      <c r="AH67" s="797">
        <f>'3.Costes D.V. y Pagos (1º,2º)'!AG$49*'3.Costes D.V. y Pagos (1º,2º)'!$AB54</f>
        <v>0</v>
      </c>
      <c r="AI67" s="797">
        <f>'3.Costes D.V. y Pagos (1º,2º)'!AH$49*'3.Costes D.V. y Pagos (1º,2º)'!$AB54</f>
        <v>0</v>
      </c>
      <c r="AJ67" s="798">
        <f>'3.Costes D.V. y Pagos (1º,2º)'!AI$49*'3.Costes D.V. y Pagos (1º,2º)'!$AB54</f>
        <v>0</v>
      </c>
      <c r="AK67" s="819">
        <f t="shared" si="7"/>
        <v>0</v>
      </c>
      <c r="AL67" s="1685"/>
    </row>
    <row r="68" spans="1:39" s="1676" customFormat="1" ht="16.5" hidden="1">
      <c r="B68" s="1714"/>
      <c r="C68" s="1686" t="s">
        <v>266</v>
      </c>
      <c r="D68" s="816"/>
      <c r="E68" s="817">
        <f>'3.Costes D.V. y Pagos (1º,2º)'!D$49/2*'3.Costes D.V. y Pagos (1º,2º)'!$G55</f>
        <v>0</v>
      </c>
      <c r="F68" s="817">
        <f>('3.Costes D.V. y Pagos (1º,2º)'!D49/2+'3.Costes D.V. y Pagos (1º,2º)'!E$49/2)*'3.Costes D.V. y Pagos (1º,2º)'!$G55</f>
        <v>0</v>
      </c>
      <c r="G68" s="817">
        <f>('3.Costes D.V. y Pagos (1º,2º)'!E49/2+'3.Costes D.V. y Pagos (1º,2º)'!F$49/2)*'3.Costes D.V. y Pagos (1º,2º)'!$G55</f>
        <v>0</v>
      </c>
      <c r="H68" s="817">
        <f>('3.Costes D.V. y Pagos (1º,2º)'!F49/2+'3.Costes D.V. y Pagos (1º,2º)'!G$49/2)*'3.Costes D.V. y Pagos (1º,2º)'!$G55</f>
        <v>0</v>
      </c>
      <c r="I68" s="817">
        <f>('3.Costes D.V. y Pagos (1º,2º)'!G49/2+'3.Costes D.V. y Pagos (1º,2º)'!H$49/2)*'3.Costes D.V. y Pagos (1º,2º)'!$G55</f>
        <v>0</v>
      </c>
      <c r="J68" s="817">
        <f>('3.Costes D.V. y Pagos (1º,2º)'!H49/2+'3.Costes D.V. y Pagos (1º,2º)'!I$49/2)*'3.Costes D.V. y Pagos (1º,2º)'!$G55</f>
        <v>0</v>
      </c>
      <c r="K68" s="817">
        <f>('3.Costes D.V. y Pagos (1º,2º)'!I49/2+'3.Costes D.V. y Pagos (1º,2º)'!J$49/2)*'3.Costes D.V. y Pagos (1º,2º)'!$G55</f>
        <v>0</v>
      </c>
      <c r="L68" s="817">
        <f>('3.Costes D.V. y Pagos (1º,2º)'!J49/2+'3.Costes D.V. y Pagos (1º,2º)'!K$49/2)*'3.Costes D.V. y Pagos (1º,2º)'!$G55</f>
        <v>0</v>
      </c>
      <c r="M68" s="817">
        <f>('3.Costes D.V. y Pagos (1º,2º)'!K49/2+'3.Costes D.V. y Pagos (1º,2º)'!L$49/2)*'3.Costes D.V. y Pagos (1º,2º)'!$G55</f>
        <v>0</v>
      </c>
      <c r="N68" s="817">
        <f>('3.Costes D.V. y Pagos (1º,2º)'!L49/2+'3.Costes D.V. y Pagos (1º,2º)'!M$49/2)*'3.Costes D.V. y Pagos (1º,2º)'!$G55</f>
        <v>0</v>
      </c>
      <c r="O68" s="818">
        <f>('3.Costes D.V. y Pagos (1º,2º)'!M49/2+'3.Costes D.V. y Pagos (1º,2º)'!N$49/2)*'3.Costes D.V. y Pagos (1º,2º)'!$G55</f>
        <v>0</v>
      </c>
      <c r="P68" s="819">
        <f t="shared" si="6"/>
        <v>0</v>
      </c>
      <c r="Q68" s="1687"/>
      <c r="T68" s="1833"/>
      <c r="Y68" s="1769">
        <f>('3.Costes D.V. y Pagos (1º,2º)'!N$49/2+'3.Costes D.V. y Pagos (1º,2º)'!O49/2)*'3.Costes D.V. y Pagos (1º,2º)'!$G55</f>
        <v>0</v>
      </c>
      <c r="Z68" s="801">
        <f>'3.Costes D.V. y Pagos (1º,2º)'!Y$49/2*'3.Costes D.V. y Pagos (1º,2º)'!$AB55+('3.Costes D.V. y Pagos (1º,2º)'!O49/2)*'3.Costes D.V. y Pagos (1º,2º)'!G55</f>
        <v>0</v>
      </c>
      <c r="AA68" s="797">
        <f>('3.Costes D.V. y Pagos (1º,2º)'!Z$49/2+'3.Costes D.V. y Pagos (1º,2º)'!Y49/2)*'3.Costes D.V. y Pagos (1º,2º)'!$AB55</f>
        <v>0</v>
      </c>
      <c r="AB68" s="797">
        <f>('3.Costes D.V. y Pagos (1º,2º)'!AA$49/2+'3.Costes D.V. y Pagos (1º,2º)'!Z49/2)*'3.Costes D.V. y Pagos (1º,2º)'!$AB55</f>
        <v>0</v>
      </c>
      <c r="AC68" s="797">
        <f>('3.Costes D.V. y Pagos (1º,2º)'!AB$49/2+'3.Costes D.V. y Pagos (1º,2º)'!AA49/2)*'3.Costes D.V. y Pagos (1º,2º)'!$AB55</f>
        <v>0</v>
      </c>
      <c r="AD68" s="797">
        <f>('3.Costes D.V. y Pagos (1º,2º)'!AC$49/2+'3.Costes D.V. y Pagos (1º,2º)'!AB49/2)*'3.Costes D.V. y Pagos (1º,2º)'!$AB55</f>
        <v>0</v>
      </c>
      <c r="AE68" s="797">
        <f>('3.Costes D.V. y Pagos (1º,2º)'!AD$49/2+'3.Costes D.V. y Pagos (1º,2º)'!AC49/2)*'3.Costes D.V. y Pagos (1º,2º)'!$AB55</f>
        <v>0</v>
      </c>
      <c r="AF68" s="797">
        <f>('3.Costes D.V. y Pagos (1º,2º)'!AE$49/2+'3.Costes D.V. y Pagos (1º,2º)'!AD49/2)*'3.Costes D.V. y Pagos (1º,2º)'!$AB55</f>
        <v>0</v>
      </c>
      <c r="AG68" s="797">
        <f>('3.Costes D.V. y Pagos (1º,2º)'!AF$49/2+'3.Costes D.V. y Pagos (1º,2º)'!AE49/2)*'3.Costes D.V. y Pagos (1º,2º)'!$AB55</f>
        <v>0</v>
      </c>
      <c r="AH68" s="797">
        <f>('3.Costes D.V. y Pagos (1º,2º)'!AG$49/2+'3.Costes D.V. y Pagos (1º,2º)'!AF49/2)*'3.Costes D.V. y Pagos (1º,2º)'!$AB55</f>
        <v>0</v>
      </c>
      <c r="AI68" s="797">
        <f>('3.Costes D.V. y Pagos (1º,2º)'!AH$49/2+'3.Costes D.V. y Pagos (1º,2º)'!AG49/2)*'3.Costes D.V. y Pagos (1º,2º)'!$AB55</f>
        <v>0</v>
      </c>
      <c r="AJ68" s="798">
        <f>('3.Costes D.V. y Pagos (1º,2º)'!AI$49/2+'3.Costes D.V. y Pagos (1º,2º)'!AH49/2)*'3.Costes D.V. y Pagos (1º,2º)'!$AB55</f>
        <v>0</v>
      </c>
      <c r="AK68" s="819">
        <f t="shared" si="7"/>
        <v>0</v>
      </c>
      <c r="AL68" s="1687"/>
    </row>
    <row r="69" spans="1:39" s="1676" customFormat="1" ht="16.5" hidden="1">
      <c r="B69" s="1714"/>
      <c r="C69" s="1677" t="s">
        <v>57</v>
      </c>
      <c r="D69" s="816"/>
      <c r="E69" s="817"/>
      <c r="F69" s="817">
        <f>'3.Costes D.V. y Pagos (1º,2º)'!D$49*'3.Costes D.V. y Pagos (1º,2º)'!$G56</f>
        <v>0</v>
      </c>
      <c r="G69" s="817">
        <f>'3.Costes D.V. y Pagos (1º,2º)'!E$49*'3.Costes D.V. y Pagos (1º,2º)'!$G56</f>
        <v>0</v>
      </c>
      <c r="H69" s="817">
        <f>'3.Costes D.V. y Pagos (1º,2º)'!F$49*'3.Costes D.V. y Pagos (1º,2º)'!$G56</f>
        <v>0</v>
      </c>
      <c r="I69" s="817">
        <f>'3.Costes D.V. y Pagos (1º,2º)'!G$49*'3.Costes D.V. y Pagos (1º,2º)'!$G56</f>
        <v>0</v>
      </c>
      <c r="J69" s="817">
        <f>'3.Costes D.V. y Pagos (1º,2º)'!H$49*'3.Costes D.V. y Pagos (1º,2º)'!$G56</f>
        <v>0</v>
      </c>
      <c r="K69" s="817">
        <f>'3.Costes D.V. y Pagos (1º,2º)'!I$49*'3.Costes D.V. y Pagos (1º,2º)'!$G56</f>
        <v>0</v>
      </c>
      <c r="L69" s="817">
        <f>'3.Costes D.V. y Pagos (1º,2º)'!J$49*'3.Costes D.V. y Pagos (1º,2º)'!$G56</f>
        <v>0</v>
      </c>
      <c r="M69" s="817">
        <f>'3.Costes D.V. y Pagos (1º,2º)'!K$49*'3.Costes D.V. y Pagos (1º,2º)'!$G56</f>
        <v>0</v>
      </c>
      <c r="N69" s="817">
        <f>'3.Costes D.V. y Pagos (1º,2º)'!L$49*'3.Costes D.V. y Pagos (1º,2º)'!$G56</f>
        <v>0</v>
      </c>
      <c r="O69" s="818">
        <f>'3.Costes D.V. y Pagos (1º,2º)'!M$49*'3.Costes D.V. y Pagos (1º,2º)'!$G56</f>
        <v>0</v>
      </c>
      <c r="P69" s="819">
        <f t="shared" si="6"/>
        <v>0</v>
      </c>
      <c r="Q69" s="1682"/>
      <c r="T69" s="1833"/>
      <c r="Y69" s="1769">
        <f>'3.Costes D.V. y Pagos (1º,2º)'!N49*'3.Costes D.V. y Pagos (1º,2º)'!G56</f>
        <v>0</v>
      </c>
      <c r="Z69" s="802">
        <f>'3.Costes D.V. y Pagos (1º,2º)'!O49*'3.Costes D.V. y Pagos (1º,2º)'!G56</f>
        <v>0</v>
      </c>
      <c r="AA69" s="803">
        <f>'3.Costes D.V. y Pagos (1º,2º)'!Y$49*'3.Costes D.V. y Pagos (1º,2º)'!$AB56</f>
        <v>0</v>
      </c>
      <c r="AB69" s="797">
        <f>'3.Costes D.V. y Pagos (1º,2º)'!Z$49*'3.Costes D.V. y Pagos (1º,2º)'!$AB56</f>
        <v>0</v>
      </c>
      <c r="AC69" s="797">
        <f>'3.Costes D.V. y Pagos (1º,2º)'!AA$49*'3.Costes D.V. y Pagos (1º,2º)'!$AB56</f>
        <v>0</v>
      </c>
      <c r="AD69" s="797">
        <f>'3.Costes D.V. y Pagos (1º,2º)'!AB$49*'3.Costes D.V. y Pagos (1º,2º)'!$AB56</f>
        <v>0</v>
      </c>
      <c r="AE69" s="797">
        <f>'3.Costes D.V. y Pagos (1º,2º)'!AC$49*'3.Costes D.V. y Pagos (1º,2º)'!$AB56</f>
        <v>0</v>
      </c>
      <c r="AF69" s="797">
        <f>'3.Costes D.V. y Pagos (1º,2º)'!AD$49*'3.Costes D.V. y Pagos (1º,2º)'!$AB56</f>
        <v>0</v>
      </c>
      <c r="AG69" s="797">
        <f>'3.Costes D.V. y Pagos (1º,2º)'!AE$49*'3.Costes D.V. y Pagos (1º,2º)'!$AB56</f>
        <v>0</v>
      </c>
      <c r="AH69" s="797">
        <f>'3.Costes D.V. y Pagos (1º,2º)'!AF$49*'3.Costes D.V. y Pagos (1º,2º)'!$AB56</f>
        <v>0</v>
      </c>
      <c r="AI69" s="797">
        <f>'3.Costes D.V. y Pagos (1º,2º)'!AG$49*'3.Costes D.V. y Pagos (1º,2º)'!$AB56</f>
        <v>0</v>
      </c>
      <c r="AJ69" s="798">
        <f>'3.Costes D.V. y Pagos (1º,2º)'!AH$49*'3.Costes D.V. y Pagos (1º,2º)'!$AB56</f>
        <v>0</v>
      </c>
      <c r="AK69" s="819">
        <f t="shared" si="7"/>
        <v>0</v>
      </c>
      <c r="AL69" s="1682"/>
    </row>
    <row r="70" spans="1:39" s="1676" customFormat="1" ht="16.5" hidden="1">
      <c r="B70" s="1715"/>
      <c r="C70" s="1677" t="s">
        <v>58</v>
      </c>
      <c r="D70" s="816"/>
      <c r="E70" s="817"/>
      <c r="F70" s="817"/>
      <c r="G70" s="817">
        <f>'3.Costes D.V. y Pagos (1º,2º)'!D$49*'3.Costes D.V. y Pagos (1º,2º)'!$G57</f>
        <v>0</v>
      </c>
      <c r="H70" s="817">
        <f>'3.Costes D.V. y Pagos (1º,2º)'!E$49*'3.Costes D.V. y Pagos (1º,2º)'!$G57</f>
        <v>0</v>
      </c>
      <c r="I70" s="817">
        <f>'3.Costes D.V. y Pagos (1º,2º)'!F$49*'3.Costes D.V. y Pagos (1º,2º)'!$G57</f>
        <v>0</v>
      </c>
      <c r="J70" s="817">
        <f>'3.Costes D.V. y Pagos (1º,2º)'!G$49*'3.Costes D.V. y Pagos (1º,2º)'!$G57</f>
        <v>0</v>
      </c>
      <c r="K70" s="817">
        <f>'3.Costes D.V. y Pagos (1º,2º)'!H$49*'3.Costes D.V. y Pagos (1º,2º)'!$G57</f>
        <v>0</v>
      </c>
      <c r="L70" s="817">
        <f>'3.Costes D.V. y Pagos (1º,2º)'!I$49*'3.Costes D.V. y Pagos (1º,2º)'!$G57</f>
        <v>0</v>
      </c>
      <c r="M70" s="817">
        <f>'3.Costes D.V. y Pagos (1º,2º)'!J$49*'3.Costes D.V. y Pagos (1º,2º)'!$G57</f>
        <v>0</v>
      </c>
      <c r="N70" s="817">
        <f>'3.Costes D.V. y Pagos (1º,2º)'!K$49*'3.Costes D.V. y Pagos (1º,2º)'!$G57</f>
        <v>0</v>
      </c>
      <c r="O70" s="818">
        <f>'3.Costes D.V. y Pagos (1º,2º)'!L$49*'3.Costes D.V. y Pagos (1º,2º)'!$G57</f>
        <v>0</v>
      </c>
      <c r="P70" s="819">
        <f t="shared" si="6"/>
        <v>0</v>
      </c>
      <c r="Q70" s="1682"/>
      <c r="T70" s="1833"/>
      <c r="Y70" s="1769">
        <f>'3.Costes D.V. y Pagos (1º,2º)'!G57*'3.Costes D.V. y Pagos (1º,2º)'!M49</f>
        <v>0</v>
      </c>
      <c r="Z70" s="802">
        <f>'3.Costes D.V. y Pagos (1º,2º)'!N49*'3.Costes D.V. y Pagos (1º,2º)'!G57</f>
        <v>0</v>
      </c>
      <c r="AA70" s="802">
        <f>'3.Costes D.V. y Pagos (1º,2º)'!O49*'3.Costes D.V. y Pagos (1º,2º)'!G57</f>
        <v>0</v>
      </c>
      <c r="AB70" s="797">
        <f>'3.Costes D.V. y Pagos (1º,2º)'!Y$49*'3.Costes D.V. y Pagos (1º,2º)'!$AB57</f>
        <v>0</v>
      </c>
      <c r="AC70" s="797">
        <f>'3.Costes D.V. y Pagos (1º,2º)'!Z$49*'3.Costes D.V. y Pagos (1º,2º)'!$AB57</f>
        <v>0</v>
      </c>
      <c r="AD70" s="797">
        <f>'3.Costes D.V. y Pagos (1º,2º)'!AA$49*'3.Costes D.V. y Pagos (1º,2º)'!$AB57</f>
        <v>0</v>
      </c>
      <c r="AE70" s="797">
        <f>'3.Costes D.V. y Pagos (1º,2º)'!AB$49*'3.Costes D.V. y Pagos (1º,2º)'!$AB57</f>
        <v>0</v>
      </c>
      <c r="AF70" s="797">
        <f>'3.Costes D.V. y Pagos (1º,2º)'!AC$49*'3.Costes D.V. y Pagos (1º,2º)'!$AB57</f>
        <v>0</v>
      </c>
      <c r="AG70" s="797">
        <f>'3.Costes D.V. y Pagos (1º,2º)'!AD$49*'3.Costes D.V. y Pagos (1º,2º)'!$AB57</f>
        <v>0</v>
      </c>
      <c r="AH70" s="797">
        <f>'3.Costes D.V. y Pagos (1º,2º)'!AE$49*'3.Costes D.V. y Pagos (1º,2º)'!$AB57</f>
        <v>0</v>
      </c>
      <c r="AI70" s="797">
        <f>'3.Costes D.V. y Pagos (1º,2º)'!AF$49*'3.Costes D.V. y Pagos (1º,2º)'!$AB57</f>
        <v>0</v>
      </c>
      <c r="AJ70" s="798">
        <f>'3.Costes D.V. y Pagos (1º,2º)'!AG$49*'3.Costes D.V. y Pagos (1º,2º)'!$AB57</f>
        <v>0</v>
      </c>
      <c r="AK70" s="819">
        <f t="shared" si="7"/>
        <v>0</v>
      </c>
      <c r="AL70" s="1682"/>
    </row>
    <row r="71" spans="1:39" s="1676" customFormat="1" ht="16.5" hidden="1">
      <c r="B71" s="1715"/>
      <c r="C71" s="1677" t="s">
        <v>59</v>
      </c>
      <c r="D71" s="816"/>
      <c r="E71" s="817"/>
      <c r="F71" s="817"/>
      <c r="G71" s="817"/>
      <c r="H71" s="817">
        <f>'3.Costes D.V. y Pagos (1º,2º)'!D$49*'3.Costes D.V. y Pagos (1º,2º)'!$G58</f>
        <v>0</v>
      </c>
      <c r="I71" s="817">
        <f>'3.Costes D.V. y Pagos (1º,2º)'!E$49*'3.Costes D.V. y Pagos (1º,2º)'!$G58</f>
        <v>0</v>
      </c>
      <c r="J71" s="817">
        <f>'3.Costes D.V. y Pagos (1º,2º)'!F$49*'3.Costes D.V. y Pagos (1º,2º)'!$G58</f>
        <v>0</v>
      </c>
      <c r="K71" s="817">
        <f>'3.Costes D.V. y Pagos (1º,2º)'!G$49*'3.Costes D.V. y Pagos (1º,2º)'!$G58</f>
        <v>0</v>
      </c>
      <c r="L71" s="817">
        <f>'3.Costes D.V. y Pagos (1º,2º)'!H$49*'3.Costes D.V. y Pagos (1º,2º)'!$G58</f>
        <v>0</v>
      </c>
      <c r="M71" s="817">
        <f>'3.Costes D.V. y Pagos (1º,2º)'!I$49*'3.Costes D.V. y Pagos (1º,2º)'!$G58</f>
        <v>0</v>
      </c>
      <c r="N71" s="817">
        <f>'3.Costes D.V. y Pagos (1º,2º)'!J$49*'3.Costes D.V. y Pagos (1º,2º)'!$G58</f>
        <v>0</v>
      </c>
      <c r="O71" s="818">
        <f>'3.Costes D.V. y Pagos (1º,2º)'!K$49*'3.Costes D.V. y Pagos (1º,2º)'!$G58</f>
        <v>0</v>
      </c>
      <c r="P71" s="819">
        <f t="shared" si="6"/>
        <v>0</v>
      </c>
      <c r="Q71" s="1682"/>
      <c r="T71" s="1833"/>
      <c r="Y71" s="1769">
        <f>'3.Costes D.V. y Pagos (1º,2º)'!G58*'3.Costes D.V. y Pagos (1º,2º)'!L49</f>
        <v>0</v>
      </c>
      <c r="Z71" s="802">
        <f>'3.Costes D.V. y Pagos (1º,2º)'!G58*'3.Costes D.V. y Pagos (1º,2º)'!M49</f>
        <v>0</v>
      </c>
      <c r="AA71" s="802">
        <f>'3.Costes D.V. y Pagos (1º,2º)'!N49*'3.Costes D.V. y Pagos (1º,2º)'!G58</f>
        <v>0</v>
      </c>
      <c r="AB71" s="802">
        <f>'3.Costes D.V. y Pagos (1º,2º)'!O49*'3.Costes D.V. y Pagos (1º,2º)'!G58</f>
        <v>0</v>
      </c>
      <c r="AC71" s="797">
        <f>'3.Costes D.V. y Pagos (1º,2º)'!Y$49*'3.Costes D.V. y Pagos (1º,2º)'!$AB58</f>
        <v>0</v>
      </c>
      <c r="AD71" s="797">
        <f>'3.Costes D.V. y Pagos (1º,2º)'!Z$49*'3.Costes D.V. y Pagos (1º,2º)'!$AB58</f>
        <v>0</v>
      </c>
      <c r="AE71" s="797">
        <f>'3.Costes D.V. y Pagos (1º,2º)'!AA$49*'3.Costes D.V. y Pagos (1º,2º)'!$AB58</f>
        <v>0</v>
      </c>
      <c r="AF71" s="797">
        <f>'3.Costes D.V. y Pagos (1º,2º)'!AB$49*'3.Costes D.V. y Pagos (1º,2º)'!$AB58</f>
        <v>0</v>
      </c>
      <c r="AG71" s="797">
        <f>'3.Costes D.V. y Pagos (1º,2º)'!AC$49*'3.Costes D.V. y Pagos (1º,2º)'!$AB58</f>
        <v>0</v>
      </c>
      <c r="AH71" s="797">
        <f>'3.Costes D.V. y Pagos (1º,2º)'!AD$49*'3.Costes D.V. y Pagos (1º,2º)'!$AB58</f>
        <v>0</v>
      </c>
      <c r="AI71" s="797">
        <f>'3.Costes D.V. y Pagos (1º,2º)'!AE$49*'3.Costes D.V. y Pagos (1º,2º)'!$AB58</f>
        <v>0</v>
      </c>
      <c r="AJ71" s="798">
        <f>'3.Costes D.V. y Pagos (1º,2º)'!AF$49*'3.Costes D.V. y Pagos (1º,2º)'!$AB58</f>
        <v>0</v>
      </c>
      <c r="AK71" s="819">
        <f t="shared" si="7"/>
        <v>0</v>
      </c>
      <c r="AL71" s="1682"/>
    </row>
    <row r="72" spans="1:39" s="1676" customFormat="1" ht="16.5" hidden="1">
      <c r="B72" s="1715"/>
      <c r="C72" s="1677" t="s">
        <v>60</v>
      </c>
      <c r="D72" s="816"/>
      <c r="E72" s="817"/>
      <c r="F72" s="817"/>
      <c r="G72" s="817"/>
      <c r="H72" s="817"/>
      <c r="I72" s="817">
        <f>'3.Costes D.V. y Pagos (1º,2º)'!D$49*'3.Costes D.V. y Pagos (1º,2º)'!$G59</f>
        <v>0</v>
      </c>
      <c r="J72" s="817">
        <f>'3.Costes D.V. y Pagos (1º,2º)'!E$49*'3.Costes D.V. y Pagos (1º,2º)'!$G59</f>
        <v>0</v>
      </c>
      <c r="K72" s="817">
        <f>'3.Costes D.V. y Pagos (1º,2º)'!F$49*'3.Costes D.V. y Pagos (1º,2º)'!$G59</f>
        <v>0</v>
      </c>
      <c r="L72" s="817">
        <f>'3.Costes D.V. y Pagos (1º,2º)'!G$49*'3.Costes D.V. y Pagos (1º,2º)'!$G59</f>
        <v>0</v>
      </c>
      <c r="M72" s="817">
        <f>'3.Costes D.V. y Pagos (1º,2º)'!H$49*'3.Costes D.V. y Pagos (1º,2º)'!$G59</f>
        <v>0</v>
      </c>
      <c r="N72" s="817">
        <f>'3.Costes D.V. y Pagos (1º,2º)'!I$49*'3.Costes D.V. y Pagos (1º,2º)'!$G59</f>
        <v>0</v>
      </c>
      <c r="O72" s="818">
        <f>'3.Costes D.V. y Pagos (1º,2º)'!J$49*'3.Costes D.V. y Pagos (1º,2º)'!$G59</f>
        <v>0</v>
      </c>
      <c r="P72" s="819">
        <f t="shared" si="6"/>
        <v>0</v>
      </c>
      <c r="Q72" s="1682"/>
      <c r="T72" s="1833"/>
      <c r="Y72" s="1769">
        <f>'3.Costes D.V. y Pagos (1º,2º)'!K49*'3.Costes D.V. y Pagos (1º,2º)'!G59</f>
        <v>0</v>
      </c>
      <c r="Z72" s="802">
        <f>'3.Costes D.V. y Pagos (1º,2º)'!G59*'3.Costes D.V. y Pagos (1º,2º)'!L49</f>
        <v>0</v>
      </c>
      <c r="AA72" s="802">
        <f>'3.Costes D.V. y Pagos (1º,2º)'!G59*'3.Costes D.V. y Pagos (1º,2º)'!M49</f>
        <v>0</v>
      </c>
      <c r="AB72" s="802">
        <f>'3.Costes D.V. y Pagos (1º,2º)'!N49*'3.Costes D.V. y Pagos (1º,2º)'!G59</f>
        <v>0</v>
      </c>
      <c r="AC72" s="802">
        <f>'3.Costes D.V. y Pagos (1º,2º)'!O49*'3.Costes D.V. y Pagos (1º,2º)'!G59</f>
        <v>0</v>
      </c>
      <c r="AD72" s="797">
        <f>'3.Costes D.V. y Pagos (1º,2º)'!Y$49*'3.Costes D.V. y Pagos (1º,2º)'!$AB59</f>
        <v>0</v>
      </c>
      <c r="AE72" s="797">
        <f>'3.Costes D.V. y Pagos (1º,2º)'!Z$49*'3.Costes D.V. y Pagos (1º,2º)'!$AB59</f>
        <v>0</v>
      </c>
      <c r="AF72" s="797">
        <f>'3.Costes D.V. y Pagos (1º,2º)'!AA$49*'3.Costes D.V. y Pagos (1º,2º)'!$AB59</f>
        <v>0</v>
      </c>
      <c r="AG72" s="797">
        <f>'3.Costes D.V. y Pagos (1º,2º)'!AB$49*'3.Costes D.V. y Pagos (1º,2º)'!$AB59</f>
        <v>0</v>
      </c>
      <c r="AH72" s="797">
        <f>'3.Costes D.V. y Pagos (1º,2º)'!AC$49*'3.Costes D.V. y Pagos (1º,2º)'!$AB59</f>
        <v>0</v>
      </c>
      <c r="AI72" s="797">
        <f>'3.Costes D.V. y Pagos (1º,2º)'!AD$49*'3.Costes D.V. y Pagos (1º,2º)'!$AB59</f>
        <v>0</v>
      </c>
      <c r="AJ72" s="798">
        <f>'3.Costes D.V. y Pagos (1º,2º)'!AE$49*'3.Costes D.V. y Pagos (1º,2º)'!$AB59</f>
        <v>0</v>
      </c>
      <c r="AK72" s="819">
        <f t="shared" si="7"/>
        <v>0</v>
      </c>
      <c r="AL72" s="1682"/>
    </row>
    <row r="73" spans="1:39" s="1676" customFormat="1" ht="16.5" hidden="1">
      <c r="B73" s="1715"/>
      <c r="C73" s="1677" t="s">
        <v>61</v>
      </c>
      <c r="D73" s="820"/>
      <c r="E73" s="821"/>
      <c r="F73" s="821"/>
      <c r="G73" s="821"/>
      <c r="H73" s="821"/>
      <c r="I73" s="821"/>
      <c r="J73" s="821">
        <f>'3.Costes D.V. y Pagos (1º,2º)'!D$49*'3.Costes D.V. y Pagos (1º,2º)'!$G60</f>
        <v>0</v>
      </c>
      <c r="K73" s="821">
        <f>'3.Costes D.V. y Pagos (1º,2º)'!E$49*'3.Costes D.V. y Pagos (1º,2º)'!$G60</f>
        <v>0</v>
      </c>
      <c r="L73" s="821">
        <f>'3.Costes D.V. y Pagos (1º,2º)'!F$49*'3.Costes D.V. y Pagos (1º,2º)'!$G60</f>
        <v>0</v>
      </c>
      <c r="M73" s="821">
        <f>'3.Costes D.V. y Pagos (1º,2º)'!G$49*'3.Costes D.V. y Pagos (1º,2º)'!$G60</f>
        <v>0</v>
      </c>
      <c r="N73" s="821">
        <f>'3.Costes D.V. y Pagos (1º,2º)'!H$49*'3.Costes D.V. y Pagos (1º,2º)'!$G60</f>
        <v>0</v>
      </c>
      <c r="O73" s="822">
        <f>'3.Costes D.V. y Pagos (1º,2º)'!I$49*'3.Costes D.V. y Pagos (1º,2º)'!$G60</f>
        <v>0</v>
      </c>
      <c r="P73" s="823">
        <f t="shared" si="6"/>
        <v>0</v>
      </c>
      <c r="Q73" s="1693"/>
      <c r="T73" s="1833"/>
      <c r="Y73" s="1770">
        <f>'3.Costes D.V. y Pagos (1º,2º)'!J49*'3.Costes D.V. y Pagos (1º,2º)'!G60</f>
        <v>0</v>
      </c>
      <c r="Z73" s="806">
        <f>'3.Costes D.V. y Pagos (1º,2º)'!K49*'3.Costes D.V. y Pagos (1º,2º)'!G60</f>
        <v>0</v>
      </c>
      <c r="AA73" s="806">
        <f>'3.Costes D.V. y Pagos (1º,2º)'!G60*'3.Costes D.V. y Pagos (1º,2º)'!L49</f>
        <v>0</v>
      </c>
      <c r="AB73" s="806">
        <f>'3.Costes D.V. y Pagos (1º,2º)'!G60*'3.Costes D.V. y Pagos (1º,2º)'!M49</f>
        <v>0</v>
      </c>
      <c r="AC73" s="806">
        <f>'3.Costes D.V. y Pagos (1º,2º)'!N49*'3.Costes D.V. y Pagos (1º,2º)'!G60</f>
        <v>0</v>
      </c>
      <c r="AD73" s="806">
        <f>'3.Costes D.V. y Pagos (1º,2º)'!O49*'3.Costes D.V. y Pagos (1º,2º)'!G60</f>
        <v>0</v>
      </c>
      <c r="AE73" s="804">
        <f>'3.Costes D.V. y Pagos (1º,2º)'!Y$49*'3.Costes D.V. y Pagos (1º,2º)'!$AB60</f>
        <v>0</v>
      </c>
      <c r="AF73" s="804">
        <f>'3.Costes D.V. y Pagos (1º,2º)'!Z$49*'3.Costes D.V. y Pagos (1º,2º)'!$AB60</f>
        <v>0</v>
      </c>
      <c r="AG73" s="804">
        <f>'3.Costes D.V. y Pagos (1º,2º)'!AA$49*'3.Costes D.V. y Pagos (1º,2º)'!$AB60</f>
        <v>0</v>
      </c>
      <c r="AH73" s="804">
        <f>'3.Costes D.V. y Pagos (1º,2º)'!AB$49*'3.Costes D.V. y Pagos (1º,2º)'!$AB60</f>
        <v>0</v>
      </c>
      <c r="AI73" s="804">
        <f>'3.Costes D.V. y Pagos (1º,2º)'!AC$49*'3.Costes D.V. y Pagos (1º,2º)'!$AB60</f>
        <v>0</v>
      </c>
      <c r="AJ73" s="805">
        <f>'3.Costes D.V. y Pagos (1º,2º)'!AD$49*'3.Costes D.V. y Pagos (1º,2º)'!$AB60</f>
        <v>0</v>
      </c>
      <c r="AK73" s="823">
        <f t="shared" si="7"/>
        <v>0</v>
      </c>
      <c r="AL73" s="1693"/>
    </row>
    <row r="74" spans="1:39" s="1676" customFormat="1" ht="17.25" hidden="1" thickBot="1">
      <c r="B74" s="1715"/>
      <c r="C74" s="1686" t="s">
        <v>267</v>
      </c>
      <c r="D74" s="820"/>
      <c r="E74" s="1762"/>
      <c r="F74" s="1762"/>
      <c r="G74" s="1762"/>
      <c r="H74" s="1762"/>
      <c r="I74" s="1762"/>
      <c r="J74" s="1762"/>
      <c r="K74" s="821">
        <f>'3.Costes D.V. y Pagos (1º,2º)'!D$49*'3.Costes D.V. y Pagos (1º,2º)'!$G61</f>
        <v>0</v>
      </c>
      <c r="L74" s="821">
        <f>'3.Costes D.V. y Pagos (1º,2º)'!E$49*'3.Costes D.V. y Pagos (1º,2º)'!$G61</f>
        <v>0</v>
      </c>
      <c r="M74" s="821">
        <f>'3.Costes D.V. y Pagos (1º,2º)'!F$49*'3.Costes D.V. y Pagos (1º,2º)'!$G61</f>
        <v>0</v>
      </c>
      <c r="N74" s="821">
        <f>'3.Costes D.V. y Pagos (1º,2º)'!G$49*'3.Costes D.V. y Pagos (1º,2º)'!$G61</f>
        <v>0</v>
      </c>
      <c r="O74" s="822">
        <f>'3.Costes D.V. y Pagos (1º,2º)'!H$49*'3.Costes D.V. y Pagos (1º,2º)'!$G61</f>
        <v>0</v>
      </c>
      <c r="P74" s="824">
        <f t="shared" si="6"/>
        <v>0</v>
      </c>
      <c r="T74" s="1833"/>
      <c r="Y74" s="1771">
        <f>'3.Costes D.V. y Pagos (1º,2º)'!G61*'3.Costes D.V. y Pagos (1º,2º)'!I49</f>
        <v>0</v>
      </c>
      <c r="Z74" s="1767">
        <f>'3.Costes D.V. y Pagos (1º,2º)'!J49*'3.Costes D.V. y Pagos (1º,2º)'!G61</f>
        <v>0</v>
      </c>
      <c r="AA74" s="1767">
        <f>'3.Costes D.V. y Pagos (1º,2º)'!K49*'3.Costes D.V. y Pagos (1º,2º)'!G61</f>
        <v>0</v>
      </c>
      <c r="AB74" s="1767">
        <f>'3.Costes D.V. y Pagos (1º,2º)'!G61*'3.Costes D.V. y Pagos (1º,2º)'!L49</f>
        <v>0</v>
      </c>
      <c r="AC74" s="1767">
        <f>'3.Costes D.V. y Pagos (1º,2º)'!G61*'3.Costes D.V. y Pagos (1º,2º)'!M49</f>
        <v>0</v>
      </c>
      <c r="AD74" s="1767">
        <f>'3.Costes D.V. y Pagos (1º,2º)'!N49*'3.Costes D.V. y Pagos (1º,2º)'!G61</f>
        <v>0</v>
      </c>
      <c r="AE74" s="1767">
        <f>'3.Costes D.V. y Pagos (1º,2º)'!O49*'3.Costes D.V. y Pagos (1º,2º)'!G61</f>
        <v>0</v>
      </c>
      <c r="AF74" s="804">
        <f>'3.Costes D.V. y Pagos (1º,2º)'!Y$49*'3.Costes D.V. y Pagos (1º,2º)'!$AB61</f>
        <v>0</v>
      </c>
      <c r="AG74" s="804">
        <f>'3.Costes D.V. y Pagos (1º,2º)'!Z$49*'3.Costes D.V. y Pagos (1º,2º)'!$AB61</f>
        <v>0</v>
      </c>
      <c r="AH74" s="804">
        <f>'3.Costes D.V. y Pagos (1º,2º)'!AA$49*'3.Costes D.V. y Pagos (1º,2º)'!$AB61</f>
        <v>0</v>
      </c>
      <c r="AI74" s="804">
        <f>'3.Costes D.V. y Pagos (1º,2º)'!AB$49*'3.Costes D.V. y Pagos (1º,2º)'!$AB61</f>
        <v>0</v>
      </c>
      <c r="AJ74" s="805">
        <f>'3.Costes D.V. y Pagos (1º,2º)'!AC$49*'3.Costes D.V. y Pagos (1º,2º)'!$AB61</f>
        <v>0</v>
      </c>
      <c r="AK74" s="824">
        <f t="shared" si="7"/>
        <v>0</v>
      </c>
      <c r="AL74" s="2689"/>
      <c r="AM74" s="2690"/>
    </row>
    <row r="75" spans="1:39" s="2000" customFormat="1" ht="25.5" customHeight="1" thickTop="1" thickBot="1">
      <c r="A75" s="3362" t="s">
        <v>651</v>
      </c>
      <c r="B75" s="3443"/>
      <c r="C75" s="3444"/>
      <c r="D75" s="2004">
        <f t="shared" ref="D75:P75" si="8">SUM(D66:D74)</f>
        <v>0</v>
      </c>
      <c r="E75" s="2750">
        <f t="shared" si="8"/>
        <v>0</v>
      </c>
      <c r="F75" s="2750">
        <f t="shared" si="8"/>
        <v>0</v>
      </c>
      <c r="G75" s="2750">
        <f t="shared" si="8"/>
        <v>0</v>
      </c>
      <c r="H75" s="2750">
        <f t="shared" si="8"/>
        <v>0</v>
      </c>
      <c r="I75" s="2750">
        <f t="shared" si="8"/>
        <v>0</v>
      </c>
      <c r="J75" s="2750">
        <f t="shared" si="8"/>
        <v>0</v>
      </c>
      <c r="K75" s="2750">
        <f t="shared" si="8"/>
        <v>0</v>
      </c>
      <c r="L75" s="2750">
        <f t="shared" si="8"/>
        <v>0</v>
      </c>
      <c r="M75" s="2750">
        <f t="shared" si="8"/>
        <v>0</v>
      </c>
      <c r="N75" s="2750">
        <f t="shared" si="8"/>
        <v>0</v>
      </c>
      <c r="O75" s="2005">
        <f t="shared" si="8"/>
        <v>0</v>
      </c>
      <c r="P75" s="2004">
        <f t="shared" si="8"/>
        <v>0</v>
      </c>
      <c r="Q75" s="3441" t="s">
        <v>415</v>
      </c>
      <c r="R75" s="3442"/>
      <c r="T75" s="2007"/>
      <c r="Y75" s="2751">
        <f t="shared" ref="Y75:AK75" si="9">SUM(Y66:Y74)</f>
        <v>0</v>
      </c>
      <c r="Z75" s="2750">
        <f t="shared" si="9"/>
        <v>0</v>
      </c>
      <c r="AA75" s="2750">
        <f t="shared" si="9"/>
        <v>0</v>
      </c>
      <c r="AB75" s="2750">
        <f t="shared" si="9"/>
        <v>0</v>
      </c>
      <c r="AC75" s="2750">
        <f t="shared" si="9"/>
        <v>0</v>
      </c>
      <c r="AD75" s="2750">
        <f t="shared" si="9"/>
        <v>0</v>
      </c>
      <c r="AE75" s="2750">
        <f t="shared" si="9"/>
        <v>0</v>
      </c>
      <c r="AF75" s="2750">
        <f t="shared" si="9"/>
        <v>0</v>
      </c>
      <c r="AG75" s="2750">
        <f t="shared" si="9"/>
        <v>0</v>
      </c>
      <c r="AH75" s="2750">
        <f t="shared" si="9"/>
        <v>0</v>
      </c>
      <c r="AI75" s="2750">
        <f t="shared" si="9"/>
        <v>0</v>
      </c>
      <c r="AJ75" s="2752">
        <f t="shared" si="9"/>
        <v>0</v>
      </c>
      <c r="AK75" s="2004">
        <f t="shared" si="9"/>
        <v>0</v>
      </c>
      <c r="AL75" s="3502" t="s">
        <v>415</v>
      </c>
      <c r="AM75" s="3503"/>
    </row>
    <row r="76" spans="1:39" s="1759" customFormat="1" ht="23.25" customHeight="1" thickTop="1" thickBot="1">
      <c r="A76" s="1516"/>
      <c r="B76" s="310"/>
      <c r="C76" s="1558"/>
      <c r="D76" s="1164"/>
      <c r="E76" s="1164"/>
      <c r="F76" s="1164"/>
      <c r="G76" s="1164"/>
      <c r="H76" s="1164"/>
      <c r="I76" s="1164"/>
      <c r="J76" s="1164"/>
      <c r="K76" s="1164"/>
      <c r="L76" s="1164"/>
      <c r="M76" s="1164"/>
      <c r="N76" s="1164"/>
      <c r="O76" s="1164"/>
      <c r="P76" s="1164"/>
      <c r="Q76" s="3488">
        <f>'3.Costes D.V. y Pagos (1º,2º)'!P49-'3.Costes D.V. y Pagos (1º,2º)'!P75</f>
        <v>0</v>
      </c>
      <c r="R76" s="3489"/>
      <c r="T76" s="2055"/>
      <c r="U76" s="1760"/>
      <c r="V76" s="1761"/>
      <c r="Y76" s="1164"/>
      <c r="Z76" s="1164"/>
      <c r="AA76" s="1164"/>
      <c r="AB76" s="1164"/>
      <c r="AC76" s="1164"/>
      <c r="AD76" s="1164"/>
      <c r="AE76" s="1164"/>
      <c r="AF76" s="1164"/>
      <c r="AG76" s="1164"/>
      <c r="AH76" s="1164"/>
      <c r="AI76" s="1164"/>
      <c r="AJ76" s="1164"/>
      <c r="AK76" s="1164"/>
      <c r="AL76" s="3504">
        <f>'3.Costes D.V. y Pagos (1º,2º)'!AK49-'3.Costes D.V. y Pagos (1º,2º)'!AK75+'3.Costes D.V. y Pagos (1º,2º)'!Q76</f>
        <v>0</v>
      </c>
      <c r="AM76" s="3505"/>
    </row>
    <row r="77" spans="1:39" s="2948" customFormat="1" ht="8.25" customHeight="1" thickTop="1">
      <c r="A77" s="2944"/>
      <c r="B77" s="2945"/>
      <c r="C77" s="2946"/>
      <c r="D77" s="2947"/>
      <c r="E77" s="2947"/>
      <c r="F77" s="2947"/>
      <c r="G77" s="2947"/>
      <c r="H77" s="2947"/>
      <c r="I77" s="2947"/>
      <c r="J77" s="2947"/>
      <c r="K77" s="2947"/>
      <c r="L77" s="2947"/>
      <c r="M77" s="2947"/>
      <c r="N77" s="2947"/>
      <c r="O77" s="2947"/>
      <c r="P77" s="2947"/>
      <c r="Q77" s="2935"/>
      <c r="R77" s="2935"/>
      <c r="U77" s="2949"/>
      <c r="V77" s="2950"/>
      <c r="Y77" s="2947"/>
      <c r="Z77" s="2947"/>
      <c r="AA77" s="2947"/>
      <c r="AB77" s="2947"/>
      <c r="AC77" s="2947"/>
      <c r="AD77" s="2947"/>
      <c r="AE77" s="2947"/>
      <c r="AF77" s="2947"/>
      <c r="AG77" s="2947"/>
      <c r="AH77" s="2947"/>
      <c r="AI77" s="2947"/>
      <c r="AJ77" s="2947"/>
      <c r="AK77" s="2947"/>
      <c r="AL77" s="2935"/>
      <c r="AM77" s="2946"/>
    </row>
    <row r="78" spans="1:39" s="1" customFormat="1" ht="23.25" hidden="1" customHeight="1" thickBot="1">
      <c r="A78" s="3223" t="s">
        <v>854</v>
      </c>
      <c r="B78"/>
      <c r="C78" s="90"/>
      <c r="P78" s="4"/>
      <c r="Q78" s="3506"/>
      <c r="R78" s="3506"/>
      <c r="T78" s="1829"/>
    </row>
    <row r="79" spans="1:39" s="1" customFormat="1" ht="23.25" hidden="1" customHeight="1" thickTop="1" thickBot="1">
      <c r="A79" s="2294"/>
      <c r="B79" s="1127" t="s">
        <v>259</v>
      </c>
      <c r="C79" s="90"/>
      <c r="D79" s="827"/>
      <c r="E79" s="827"/>
      <c r="F79" s="827"/>
      <c r="G79" s="827"/>
      <c r="H79" s="827"/>
      <c r="I79" s="827"/>
      <c r="J79" s="827"/>
      <c r="K79" s="827"/>
      <c r="L79" s="827"/>
      <c r="M79" s="827"/>
      <c r="N79" s="827"/>
      <c r="O79" s="827"/>
      <c r="P79" s="828" t="s">
        <v>7</v>
      </c>
      <c r="Q79" s="3498" t="s">
        <v>147</v>
      </c>
      <c r="R79" s="3499"/>
      <c r="S79" s="1580"/>
      <c r="T79" s="1829"/>
      <c r="Y79" s="827"/>
      <c r="Z79" s="827"/>
      <c r="AA79" s="827"/>
      <c r="AB79" s="827"/>
      <c r="AC79" s="827"/>
      <c r="AD79" s="827"/>
      <c r="AE79" s="827"/>
      <c r="AF79" s="827"/>
      <c r="AG79" s="827"/>
      <c r="AH79" s="827"/>
      <c r="AI79" s="827"/>
      <c r="AJ79" s="827"/>
      <c r="AK79" s="828" t="s">
        <v>7</v>
      </c>
      <c r="AL79" s="3498" t="s">
        <v>147</v>
      </c>
      <c r="AM79" s="3499"/>
    </row>
    <row r="80" spans="1:39" ht="16.5" hidden="1" thickBot="1">
      <c r="A80" s="2295"/>
      <c r="B80" s="3372" t="s">
        <v>281</v>
      </c>
      <c r="C80" s="3373"/>
      <c r="D80" s="1841"/>
      <c r="E80" s="1842"/>
      <c r="F80" s="1843"/>
      <c r="G80" s="1843"/>
      <c r="H80" s="1843"/>
      <c r="I80" s="1843"/>
      <c r="J80" s="1843"/>
      <c r="K80" s="1843"/>
      <c r="L80" s="1843"/>
      <c r="M80" s="1843"/>
      <c r="N80" s="1843"/>
      <c r="O80" s="1843"/>
      <c r="P80" s="831">
        <f>SUM(D80:O80)</f>
        <v>0</v>
      </c>
      <c r="Q80" s="3494">
        <f>'(0) 1b. Pasivos de Partida'!B25-'3.Costes D.V. y Pagos (1º,2º)'!P80</f>
        <v>0</v>
      </c>
      <c r="R80" s="3495"/>
      <c r="U80" s="3372" t="s">
        <v>281</v>
      </c>
      <c r="V80" s="3373"/>
      <c r="Y80" s="1846"/>
      <c r="Z80" s="1847"/>
      <c r="AA80" s="1843"/>
      <c r="AB80" s="1843"/>
      <c r="AC80" s="1843"/>
      <c r="AD80" s="1843"/>
      <c r="AE80" s="1843"/>
      <c r="AF80" s="1843"/>
      <c r="AG80" s="1843"/>
      <c r="AH80" s="1843"/>
      <c r="AI80" s="1843"/>
      <c r="AJ80" s="1843"/>
      <c r="AK80" s="831">
        <f>SUM(Y80:AJ80)</f>
        <v>0</v>
      </c>
      <c r="AL80" s="3494">
        <f>'3.Costes D.V. y Pagos (1º,2º)'!Q80-'3.Costes D.V. y Pagos (1º,2º)'!AK80</f>
        <v>0</v>
      </c>
      <c r="AM80" s="3495"/>
    </row>
    <row r="81" spans="1:39" ht="17.25" hidden="1" thickTop="1" thickBot="1">
      <c r="A81" s="2295"/>
      <c r="B81" s="3496" t="s">
        <v>206</v>
      </c>
      <c r="C81" s="3497"/>
      <c r="D81" s="832"/>
      <c r="E81" s="833"/>
      <c r="F81" s="834"/>
      <c r="G81" s="834"/>
      <c r="H81" s="834"/>
      <c r="I81" s="834"/>
      <c r="J81" s="834"/>
      <c r="K81" s="834"/>
      <c r="L81" s="834"/>
      <c r="M81" s="834"/>
      <c r="N81" s="834"/>
      <c r="O81" s="834"/>
      <c r="P81" s="835">
        <f>SUM(D81:O81)</f>
        <v>0</v>
      </c>
      <c r="Q81" s="3494">
        <f>'(0) 1b. Pasivos de Partida'!B27-'3.Costes D.V. y Pagos (1º,2º)'!P81</f>
        <v>0</v>
      </c>
      <c r="R81" s="3495"/>
      <c r="S81" t="s">
        <v>595</v>
      </c>
      <c r="U81" s="3381" t="s">
        <v>206</v>
      </c>
      <c r="V81" s="3382"/>
      <c r="Y81" s="1844"/>
      <c r="Z81" s="834"/>
      <c r="AA81" s="834"/>
      <c r="AB81" s="834"/>
      <c r="AC81" s="834"/>
      <c r="AD81" s="834"/>
      <c r="AE81" s="834"/>
      <c r="AF81" s="834"/>
      <c r="AG81" s="834"/>
      <c r="AH81" s="834"/>
      <c r="AI81" s="834"/>
      <c r="AJ81" s="834"/>
      <c r="AK81" s="835">
        <f>SUM(Y81:AJ81)</f>
        <v>0</v>
      </c>
      <c r="AL81" s="3494">
        <f>'3.Costes D.V. y Pagos (1º,2º)'!Q81-'3.Costes D.V. y Pagos (1º,2º)'!AK81</f>
        <v>0</v>
      </c>
      <c r="AM81" s="3495"/>
    </row>
    <row r="82" spans="1:39" ht="16.5" hidden="1" thickBot="1">
      <c r="A82" s="2295"/>
      <c r="B82" s="3372" t="s">
        <v>207</v>
      </c>
      <c r="C82" s="3373"/>
      <c r="D82" s="829"/>
      <c r="E82" s="830"/>
      <c r="F82" s="393"/>
      <c r="G82" s="393"/>
      <c r="H82" s="393"/>
      <c r="I82" s="393"/>
      <c r="J82" s="393"/>
      <c r="K82" s="393"/>
      <c r="L82" s="393"/>
      <c r="M82" s="393"/>
      <c r="N82" s="393"/>
      <c r="O82" s="393"/>
      <c r="P82" s="831">
        <f>SUM(D82:O82)</f>
        <v>0</v>
      </c>
      <c r="Q82" s="3494">
        <f>'(0) 1b. Pasivos de Partida'!B28-'3.Costes D.V. y Pagos (1º,2º)'!P82</f>
        <v>0</v>
      </c>
      <c r="R82" s="3495"/>
      <c r="U82" s="3372" t="s">
        <v>207</v>
      </c>
      <c r="V82" s="3373"/>
      <c r="Y82" s="1845"/>
      <c r="Z82" s="393"/>
      <c r="AA82" s="393"/>
      <c r="AB82" s="393"/>
      <c r="AC82" s="393"/>
      <c r="AD82" s="393"/>
      <c r="AE82" s="393"/>
      <c r="AF82" s="393"/>
      <c r="AG82" s="393"/>
      <c r="AH82" s="393"/>
      <c r="AI82" s="393"/>
      <c r="AJ82" s="393"/>
      <c r="AK82" s="831">
        <f>SUM(Y82:AJ82)</f>
        <v>0</v>
      </c>
      <c r="AL82" s="3494">
        <f>'3.Costes D.V. y Pagos (1º,2º)'!Q82-'3.Costes D.V. y Pagos (1º,2º)'!AK82</f>
        <v>0</v>
      </c>
      <c r="AM82" s="3495"/>
    </row>
    <row r="83" spans="1:39" ht="13.5" hidden="1" thickTop="1">
      <c r="R83" s="1415"/>
    </row>
    <row r="84" spans="1:39" hidden="1"/>
    <row r="85" spans="1:39" s="1083" customFormat="1" ht="19.5" hidden="1" customHeight="1">
      <c r="A85" s="1412"/>
      <c r="B85" s="1412"/>
      <c r="C85" s="1413"/>
      <c r="D85" s="885"/>
      <c r="E85" s="885"/>
      <c r="F85" s="885"/>
      <c r="G85" s="885"/>
      <c r="H85" s="885"/>
      <c r="I85" s="885"/>
      <c r="J85" s="885"/>
      <c r="K85" s="885"/>
      <c r="L85" s="885"/>
      <c r="M85" s="885"/>
      <c r="N85" s="885"/>
      <c r="O85" s="885"/>
      <c r="P85" s="885"/>
      <c r="T85" s="1829"/>
      <c r="Y85" s="885"/>
      <c r="Z85" s="885"/>
      <c r="AA85" s="885"/>
      <c r="AB85" s="885"/>
      <c r="AC85" s="885"/>
      <c r="AD85" s="885"/>
      <c r="AE85" s="885"/>
      <c r="AF85" s="885"/>
      <c r="AG85" s="885"/>
      <c r="AH85" s="885"/>
      <c r="AI85" s="885"/>
      <c r="AJ85" s="885"/>
      <c r="AK85" s="885"/>
    </row>
    <row r="86" spans="1:39" s="2104" customFormat="1" ht="7.5" hidden="1" customHeight="1">
      <c r="A86" s="2101"/>
      <c r="B86" s="2101"/>
      <c r="C86" s="2102"/>
      <c r="D86" s="2103"/>
      <c r="E86" s="2103"/>
      <c r="F86" s="2103"/>
      <c r="G86" s="2103"/>
      <c r="H86" s="2103"/>
      <c r="I86" s="2103"/>
      <c r="J86" s="2103"/>
      <c r="K86" s="2103"/>
      <c r="L86" s="2103"/>
      <c r="M86" s="2103"/>
      <c r="N86" s="2103"/>
      <c r="O86" s="2103"/>
      <c r="P86" s="2103"/>
      <c r="Y86" s="2105"/>
      <c r="Z86" s="2105"/>
      <c r="AA86" s="2105"/>
      <c r="AB86" s="2105"/>
      <c r="AC86" s="2105"/>
      <c r="AD86" s="2105"/>
      <c r="AE86" s="2105"/>
      <c r="AF86" s="2105"/>
      <c r="AG86" s="2105"/>
      <c r="AH86" s="2105"/>
      <c r="AI86" s="2105"/>
      <c r="AJ86" s="2105"/>
      <c r="AK86" s="2105"/>
    </row>
    <row r="87" spans="1:39" s="1083" customFormat="1" ht="19.5" hidden="1" customHeight="1">
      <c r="A87" s="1412"/>
      <c r="B87" s="1412"/>
      <c r="C87" s="1413"/>
      <c r="D87" s="885"/>
      <c r="E87" s="885"/>
      <c r="F87" s="885"/>
      <c r="G87" s="885"/>
      <c r="H87" s="885"/>
      <c r="I87" s="885"/>
      <c r="J87" s="885"/>
      <c r="K87" s="885"/>
      <c r="L87" s="885"/>
      <c r="M87" s="885"/>
      <c r="N87" s="885"/>
      <c r="O87" s="885"/>
      <c r="P87" s="885"/>
      <c r="T87" s="1829"/>
      <c r="Y87" s="885"/>
      <c r="Z87" s="885"/>
      <c r="AA87" s="885"/>
      <c r="AB87" s="885"/>
      <c r="AC87" s="885"/>
      <c r="AD87" s="885"/>
      <c r="AE87" s="885"/>
      <c r="AF87" s="885"/>
      <c r="AG87" s="885"/>
      <c r="AH87" s="885"/>
      <c r="AI87" s="885"/>
      <c r="AJ87" s="885"/>
      <c r="AK87" s="885"/>
    </row>
    <row r="88" spans="1:39" ht="13.5" hidden="1" thickBot="1"/>
    <row r="89" spans="1:39" s="1" customFormat="1" ht="19.5" hidden="1" customHeight="1">
      <c r="A89" s="1412"/>
      <c r="B89" s="1412"/>
      <c r="C89" s="1413"/>
      <c r="D89" s="2660" t="s">
        <v>561</v>
      </c>
      <c r="E89" s="2661"/>
      <c r="F89" s="2662"/>
      <c r="G89" s="2662"/>
      <c r="H89" s="2663" t="str">
        <f>IF('2.Ventas y Cobros (Ej 1º,2º)'!P25=0,"",(+'3.Costes D.V. y Pagos (1º,2º)'!P16/'2.Ventas y Cobros (Ej 1º,2º)'!P25))</f>
        <v/>
      </c>
      <c r="I89" s="311"/>
      <c r="J89" s="311"/>
      <c r="K89" s="311"/>
      <c r="L89" s="311"/>
      <c r="M89" s="311"/>
      <c r="N89" s="311"/>
      <c r="O89" s="311"/>
      <c r="P89" s="311"/>
      <c r="Q89" s="88"/>
      <c r="R89" s="88"/>
      <c r="S89" s="88"/>
      <c r="T89" s="1829"/>
      <c r="U89" s="88"/>
      <c r="V89" s="88"/>
      <c r="W89" s="88"/>
      <c r="X89" s="88"/>
      <c r="Y89" s="2660" t="s">
        <v>561</v>
      </c>
      <c r="Z89" s="2676"/>
      <c r="AA89" s="2677"/>
      <c r="AB89" s="2677"/>
      <c r="AC89" s="2678" t="str">
        <f>IF('2.Ventas y Cobros (Ej 1º,2º)'!AI25=0,"",(+'3.Costes D.V. y Pagos (1º,2º)'!AK16/'2.Ventas y Cobros (Ej 1º,2º)'!AI25))</f>
        <v/>
      </c>
      <c r="AD89" s="311"/>
      <c r="AE89" s="311"/>
      <c r="AF89" s="311"/>
      <c r="AG89" s="311"/>
      <c r="AH89" s="311"/>
      <c r="AI89" s="311"/>
      <c r="AJ89" s="311"/>
      <c r="AK89" s="311"/>
    </row>
    <row r="90" spans="1:39" s="1" customFormat="1" ht="19.5" hidden="1" customHeight="1">
      <c r="A90" s="1412"/>
      <c r="B90" s="1412"/>
      <c r="C90" s="1413"/>
      <c r="D90" s="2664" t="s">
        <v>671</v>
      </c>
      <c r="E90" s="2665"/>
      <c r="F90" s="2666"/>
      <c r="G90" s="2666"/>
      <c r="H90" s="2667" t="str">
        <f>IF('2.Ventas y Cobros (Ej 1º,2º)'!P25=0,"",(+'3.Costes D.V. y Pagos (1º,2º)'!P37/'2.Ventas y Cobros (Ej 1º,2º)'!P25))</f>
        <v/>
      </c>
      <c r="I90" s="311"/>
      <c r="J90" s="311"/>
      <c r="K90" s="311"/>
      <c r="L90" s="311"/>
      <c r="M90" s="311"/>
      <c r="N90" s="311"/>
      <c r="O90" s="311"/>
      <c r="P90" s="311"/>
      <c r="Q90" s="88"/>
      <c r="R90" s="88"/>
      <c r="S90" s="88"/>
      <c r="T90" s="1829"/>
      <c r="U90" s="88"/>
      <c r="V90" s="88"/>
      <c r="W90" s="88"/>
      <c r="X90" s="88"/>
      <c r="Y90" s="2664" t="s">
        <v>671</v>
      </c>
      <c r="Z90" s="2679"/>
      <c r="AA90" s="2680"/>
      <c r="AB90" s="2680"/>
      <c r="AC90" s="2681" t="str">
        <f>IF('2.Ventas y Cobros (Ej 1º,2º)'!AI25=0,"",(+AK37/'2.Ventas y Cobros (Ej 1º,2º)'!AI25))</f>
        <v/>
      </c>
      <c r="AD90" s="311"/>
      <c r="AE90" s="311"/>
      <c r="AF90" s="311"/>
      <c r="AG90" s="311"/>
      <c r="AH90" s="311"/>
      <c r="AI90" s="311"/>
      <c r="AJ90" s="311"/>
      <c r="AK90" s="311"/>
    </row>
    <row r="91" spans="1:39" s="1" customFormat="1" ht="19.5" hidden="1" customHeight="1" thickBot="1">
      <c r="A91" s="1412"/>
      <c r="B91" s="1412"/>
      <c r="C91" s="1413"/>
      <c r="D91" s="2668" t="s">
        <v>672</v>
      </c>
      <c r="E91" s="2669"/>
      <c r="F91" s="2670"/>
      <c r="G91" s="2670"/>
      <c r="H91" s="2671" t="str">
        <f>IF('2.Ventas y Cobros (Ej 1º,2º)'!P25=0,"",(+'3.Costes D.V. y Pagos (1º,2º)'!P41/'2.Ventas y Cobros (Ej 1º,2º)'!P25))</f>
        <v/>
      </c>
      <c r="I91" s="311"/>
      <c r="J91" s="311"/>
      <c r="K91" s="311"/>
      <c r="Q91" s="88"/>
      <c r="R91" s="88"/>
      <c r="S91" s="88"/>
      <c r="T91" s="1829"/>
      <c r="U91" s="88"/>
      <c r="V91" s="88"/>
      <c r="W91" s="88"/>
      <c r="X91" s="88"/>
      <c r="Y91" s="2668" t="s">
        <v>672</v>
      </c>
      <c r="Z91" s="2682"/>
      <c r="AA91" s="2683"/>
      <c r="AB91" s="2683"/>
      <c r="AC91" s="2684" t="str">
        <f>IF('2.Ventas y Cobros (Ej 1º,2º)'!AI25=0,"",(+AK41/'2.Ventas y Cobros (Ej 1º,2º)'!AI25))</f>
        <v/>
      </c>
      <c r="AD91" s="311"/>
      <c r="AE91" s="311"/>
      <c r="AF91" s="311"/>
      <c r="AL91" s="88"/>
    </row>
    <row r="92" spans="1:39" s="1" customFormat="1" ht="19.5" hidden="1" customHeight="1" thickBot="1">
      <c r="A92" s="1412"/>
      <c r="B92" s="1412"/>
      <c r="C92" s="1413"/>
      <c r="D92" s="2672" t="s">
        <v>670</v>
      </c>
      <c r="E92" s="2673"/>
      <c r="F92" s="2674"/>
      <c r="G92" s="2674"/>
      <c r="H92" s="2675" t="e">
        <f>IF((1-H91)=0,"",1-H91)</f>
        <v>#VALUE!</v>
      </c>
      <c r="I92" s="311"/>
      <c r="J92" s="311"/>
      <c r="K92" s="885"/>
      <c r="Q92" s="88"/>
      <c r="R92" s="88"/>
      <c r="S92" s="88"/>
      <c r="T92" s="1829"/>
      <c r="U92" s="88"/>
      <c r="V92" s="88"/>
      <c r="W92" s="88"/>
      <c r="X92" s="88"/>
      <c r="Y92" s="2685" t="s">
        <v>630</v>
      </c>
      <c r="Z92" s="2686"/>
      <c r="AA92" s="2687"/>
      <c r="AB92" s="2687"/>
      <c r="AC92" s="2688" t="e">
        <f>IF(1-AC91="","",1-AC91)</f>
        <v>#VALUE!</v>
      </c>
      <c r="AD92" s="311"/>
      <c r="AE92" s="311"/>
      <c r="AF92" s="885"/>
      <c r="AL92" s="88"/>
    </row>
    <row r="93" spans="1:39" s="1" customFormat="1" ht="18.75" customHeight="1">
      <c r="A93" s="236"/>
      <c r="B93" s="236"/>
      <c r="C93" s="236"/>
      <c r="D93" s="133"/>
      <c r="E93" s="133"/>
      <c r="F93" s="133"/>
      <c r="G93" s="133"/>
      <c r="H93" s="133"/>
      <c r="I93" s="133"/>
      <c r="J93" s="133"/>
      <c r="K93" s="133"/>
      <c r="T93" s="1829"/>
      <c r="Y93" s="133"/>
      <c r="Z93" s="133"/>
      <c r="AA93" s="133"/>
      <c r="AB93" s="133"/>
      <c r="AC93" s="133"/>
      <c r="AD93" s="133"/>
      <c r="AE93" s="133"/>
      <c r="AF93" s="133"/>
    </row>
    <row r="94" spans="1:39" s="1" customFormat="1" ht="15.75">
      <c r="A94" s="236"/>
      <c r="B94" s="236"/>
      <c r="C94" s="236"/>
      <c r="D94" s="133"/>
      <c r="E94" s="133"/>
      <c r="F94" s="133"/>
      <c r="G94" s="133"/>
      <c r="H94" s="133"/>
      <c r="I94" s="133"/>
      <c r="J94" s="133"/>
      <c r="K94" s="133"/>
      <c r="Q94" s="1414"/>
      <c r="R94" s="1414"/>
      <c r="S94" s="1414"/>
      <c r="T94" s="2056"/>
      <c r="Y94" s="133"/>
      <c r="Z94" s="133"/>
      <c r="AA94" s="133"/>
      <c r="AB94" s="133"/>
      <c r="AC94" s="133"/>
      <c r="AD94" s="133"/>
      <c r="AE94" s="133"/>
      <c r="AF94" s="133"/>
      <c r="AL94" s="1414"/>
    </row>
    <row r="95" spans="1:39" s="1" customFormat="1" ht="17.25" customHeight="1">
      <c r="A95" s="237"/>
      <c r="B95" s="237"/>
      <c r="C95" s="238"/>
      <c r="D95" s="239"/>
      <c r="E95" s="239"/>
      <c r="F95" s="239"/>
      <c r="G95" s="239"/>
      <c r="H95" s="239"/>
      <c r="I95" s="239"/>
      <c r="J95" s="239"/>
      <c r="K95" s="239"/>
      <c r="T95" s="1829"/>
      <c r="Y95" s="239"/>
      <c r="Z95" s="239"/>
      <c r="AA95" s="239"/>
      <c r="AB95" s="239"/>
      <c r="AC95" s="239"/>
      <c r="AD95" s="239"/>
      <c r="AE95" s="239"/>
      <c r="AF95" s="239"/>
    </row>
    <row r="96" spans="1:39" s="1084" customFormat="1" ht="24.75" customHeight="1">
      <c r="A96" s="1318"/>
      <c r="B96" s="1318"/>
      <c r="C96" s="1320"/>
      <c r="D96" s="1320"/>
      <c r="E96" s="1320"/>
      <c r="F96" s="1320"/>
      <c r="G96" s="1320"/>
      <c r="H96" s="1320"/>
      <c r="I96" s="1320"/>
      <c r="J96" s="1320"/>
      <c r="K96" s="1320"/>
      <c r="L96" s="1661"/>
      <c r="M96" s="1661"/>
      <c r="N96" s="1661"/>
      <c r="O96" s="1661"/>
      <c r="P96" s="1661"/>
      <c r="T96" s="2057"/>
      <c r="Y96" s="1320"/>
      <c r="Z96" s="1320"/>
      <c r="AA96" s="1320"/>
      <c r="AB96" s="1320"/>
      <c r="AC96" s="1320"/>
      <c r="AD96" s="1320"/>
      <c r="AE96" s="1320"/>
      <c r="AF96" s="1320"/>
    </row>
    <row r="97" spans="1:32" s="1084" customFormat="1" ht="22.5" customHeight="1">
      <c r="A97" s="236"/>
      <c r="B97" s="236"/>
      <c r="C97" s="236"/>
      <c r="D97" s="1319"/>
      <c r="E97" s="1319"/>
      <c r="F97" s="1319"/>
      <c r="G97" s="1319"/>
      <c r="H97" s="1319"/>
      <c r="I97" s="1319"/>
      <c r="J97" s="1319"/>
      <c r="K97" s="1319"/>
      <c r="L97" s="1662"/>
      <c r="M97" s="1662"/>
      <c r="N97" s="1662"/>
      <c r="O97" s="1662"/>
      <c r="P97" s="1662"/>
      <c r="T97" s="2057"/>
      <c r="Y97" s="1319"/>
      <c r="Z97" s="1319"/>
      <c r="AA97" s="1319"/>
      <c r="AB97" s="1319"/>
      <c r="AC97" s="1319"/>
      <c r="AD97" s="1319"/>
      <c r="AE97" s="1319"/>
      <c r="AF97" s="1319"/>
    </row>
    <row r="98" spans="1:32" s="1084" customFormat="1" ht="21.75" customHeight="1">
      <c r="A98" s="238"/>
      <c r="B98" s="238"/>
      <c r="C98" s="238"/>
      <c r="D98" s="238"/>
      <c r="E98" s="238"/>
      <c r="F98" s="238"/>
      <c r="G98" s="238"/>
      <c r="H98" s="238"/>
      <c r="I98" s="238"/>
      <c r="J98" s="238"/>
      <c r="K98" s="238"/>
      <c r="L98" s="1660"/>
      <c r="M98" s="1660"/>
      <c r="N98" s="1660"/>
      <c r="O98" s="1660"/>
      <c r="P98" s="1660"/>
      <c r="T98" s="2057"/>
      <c r="Y98" s="238"/>
      <c r="Z98" s="238"/>
      <c r="AA98" s="238"/>
      <c r="AB98" s="238"/>
      <c r="AC98" s="238"/>
      <c r="AD98" s="238"/>
      <c r="AE98" s="238"/>
      <c r="AF98" s="238"/>
    </row>
    <row r="99" spans="1:32" s="1084" customFormat="1" ht="30.75" customHeight="1">
      <c r="A99" s="1321"/>
      <c r="B99" s="1321"/>
      <c r="C99" s="1322"/>
      <c r="D99" s="1323"/>
      <c r="E99" s="1323"/>
      <c r="F99" s="1323"/>
      <c r="G99" s="1323"/>
      <c r="H99" s="1323"/>
      <c r="I99" s="1323"/>
      <c r="J99" s="1323"/>
      <c r="K99" s="1323"/>
      <c r="L99" s="1663"/>
      <c r="M99" s="1663"/>
      <c r="N99" s="1663"/>
      <c r="O99" s="1663"/>
      <c r="P99" s="1663"/>
      <c r="T99" s="2057"/>
      <c r="Y99" s="1323"/>
      <c r="Z99" s="1323"/>
      <c r="AA99" s="1323"/>
      <c r="AB99" s="1323"/>
      <c r="AC99" s="1323"/>
      <c r="AD99" s="1323"/>
      <c r="AE99" s="1323"/>
      <c r="AF99" s="1323"/>
    </row>
    <row r="100" spans="1:32" s="1084" customFormat="1" ht="30.75" customHeight="1">
      <c r="A100" s="1321"/>
      <c r="B100" s="1321"/>
      <c r="C100" s="1322"/>
      <c r="D100" s="1323"/>
      <c r="E100" s="1323"/>
      <c r="F100" s="1323"/>
      <c r="G100" s="1323"/>
      <c r="H100" s="1323"/>
      <c r="I100" s="1323"/>
      <c r="J100" s="1323"/>
      <c r="K100" s="1323"/>
      <c r="L100" s="1663"/>
      <c r="M100" s="1663"/>
      <c r="N100" s="1663"/>
      <c r="O100" s="1663"/>
      <c r="P100" s="1663"/>
      <c r="T100" s="2057"/>
      <c r="Y100" s="1323"/>
      <c r="Z100" s="1323"/>
      <c r="AA100" s="1323"/>
      <c r="AB100" s="1323"/>
      <c r="AC100" s="1323"/>
      <c r="AD100" s="1323"/>
      <c r="AE100" s="1323"/>
      <c r="AF100" s="1323"/>
    </row>
    <row r="101" spans="1:32" s="1084" customFormat="1" ht="0.75" customHeight="1">
      <c r="A101" s="238"/>
      <c r="B101" s="238"/>
      <c r="C101" s="1324"/>
      <c r="D101" s="1325"/>
      <c r="E101" s="1325"/>
      <c r="F101" s="1325"/>
      <c r="G101" s="1325"/>
      <c r="H101" s="1325"/>
      <c r="I101" s="1325"/>
      <c r="J101" s="1325"/>
      <c r="K101" s="1325"/>
      <c r="L101" s="1664"/>
      <c r="M101" s="1664"/>
      <c r="N101" s="1664"/>
      <c r="O101" s="1664"/>
      <c r="P101" s="1664"/>
      <c r="T101" s="2057"/>
      <c r="Y101" s="1325"/>
      <c r="Z101" s="1325"/>
      <c r="AA101" s="1325"/>
      <c r="AB101" s="1325"/>
      <c r="AC101" s="1325"/>
      <c r="AD101" s="1325"/>
      <c r="AE101" s="1325"/>
      <c r="AF101" s="1325"/>
    </row>
    <row r="102" spans="1:32" s="1" customFormat="1" ht="9" customHeight="1">
      <c r="A102" s="4"/>
      <c r="B102" s="4"/>
      <c r="C102" s="90"/>
      <c r="L102" s="1665"/>
      <c r="M102" s="1665"/>
      <c r="N102" s="1665"/>
      <c r="O102" s="1665"/>
      <c r="P102" s="1666"/>
      <c r="T102" s="1829"/>
    </row>
    <row r="103" spans="1:32" s="1" customFormat="1" ht="17.25" customHeight="1">
      <c r="A103" s="4"/>
      <c r="B103" s="4"/>
      <c r="C103" s="90"/>
      <c r="T103" s="1829"/>
    </row>
    <row r="104" spans="1:32" s="1" customFormat="1" ht="16.5" customHeight="1">
      <c r="A104" s="4"/>
      <c r="B104" s="4"/>
      <c r="C104" s="90"/>
      <c r="T104" s="1829"/>
    </row>
  </sheetData>
  <sheetProtection sheet="1" objects="1" scenarios="1"/>
  <mergeCells count="89">
    <mergeCell ref="AL25:AM25"/>
    <mergeCell ref="Q79:R79"/>
    <mergeCell ref="AL80:AM80"/>
    <mergeCell ref="AL81:AM81"/>
    <mergeCell ref="AB53:AD53"/>
    <mergeCell ref="AB56:AD56"/>
    <mergeCell ref="AB57:AD57"/>
    <mergeCell ref="AB58:AD58"/>
    <mergeCell ref="AL79:AM79"/>
    <mergeCell ref="AB54:AD54"/>
    <mergeCell ref="AB55:AD55"/>
    <mergeCell ref="AL75:AM75"/>
    <mergeCell ref="AL76:AM76"/>
    <mergeCell ref="Y53:AA53"/>
    <mergeCell ref="Y54:AA54"/>
    <mergeCell ref="Q78:R78"/>
    <mergeCell ref="AL82:AM82"/>
    <mergeCell ref="B80:C80"/>
    <mergeCell ref="B82:C82"/>
    <mergeCell ref="B81:C81"/>
    <mergeCell ref="U82:V82"/>
    <mergeCell ref="U81:V81"/>
    <mergeCell ref="U80:V80"/>
    <mergeCell ref="Q81:R81"/>
    <mergeCell ref="Q82:R82"/>
    <mergeCell ref="Q80:R80"/>
    <mergeCell ref="G58:I58"/>
    <mergeCell ref="D62:F62"/>
    <mergeCell ref="G59:I59"/>
    <mergeCell ref="G60:I60"/>
    <mergeCell ref="G61:I61"/>
    <mergeCell ref="G62:I62"/>
    <mergeCell ref="Y58:AA58"/>
    <mergeCell ref="Y59:AA59"/>
    <mergeCell ref="AB59:AD59"/>
    <mergeCell ref="AB60:AD60"/>
    <mergeCell ref="Y60:AA60"/>
    <mergeCell ref="Q76:R76"/>
    <mergeCell ref="AB62:AD62"/>
    <mergeCell ref="AB61:AD61"/>
    <mergeCell ref="Y61:AA61"/>
    <mergeCell ref="Y62:AA62"/>
    <mergeCell ref="A5:C5"/>
    <mergeCell ref="A25:C25"/>
    <mergeCell ref="A26:C26"/>
    <mergeCell ref="D51:F51"/>
    <mergeCell ref="D55:F55"/>
    <mergeCell ref="A41:C41"/>
    <mergeCell ref="A33:C33"/>
    <mergeCell ref="A35:B35"/>
    <mergeCell ref="A37:C37"/>
    <mergeCell ref="C45:O45"/>
    <mergeCell ref="A36:B36"/>
    <mergeCell ref="G54:I54"/>
    <mergeCell ref="G55:I55"/>
    <mergeCell ref="A16:C16"/>
    <mergeCell ref="A17:C17"/>
    <mergeCell ref="Y57:AA57"/>
    <mergeCell ref="Y55:AA55"/>
    <mergeCell ref="Q25:R25"/>
    <mergeCell ref="C30:O30"/>
    <mergeCell ref="C21:O21"/>
    <mergeCell ref="D56:F56"/>
    <mergeCell ref="G52:I52"/>
    <mergeCell ref="G53:I53"/>
    <mergeCell ref="U36:V36"/>
    <mergeCell ref="Y56:AA56"/>
    <mergeCell ref="Y51:AA51"/>
    <mergeCell ref="Y52:AA52"/>
    <mergeCell ref="Y30:AJ30"/>
    <mergeCell ref="Y45:AJ45"/>
    <mergeCell ref="AB52:AD52"/>
    <mergeCell ref="Y21:AJ21"/>
    <mergeCell ref="G56:I56"/>
    <mergeCell ref="G57:I57"/>
    <mergeCell ref="C3:R3"/>
    <mergeCell ref="Y3:AN3"/>
    <mergeCell ref="Q75:R75"/>
    <mergeCell ref="D61:F61"/>
    <mergeCell ref="D57:F57"/>
    <mergeCell ref="A75:C75"/>
    <mergeCell ref="D59:F59"/>
    <mergeCell ref="D60:F60"/>
    <mergeCell ref="D58:F58"/>
    <mergeCell ref="A48:C49"/>
    <mergeCell ref="D53:F53"/>
    <mergeCell ref="D54:F54"/>
    <mergeCell ref="D52:F52"/>
    <mergeCell ref="A38:C38"/>
  </mergeCells>
  <conditionalFormatting sqref="D85:P87 Y85:AK87 D36:P41 Y36:AK41 P8:P19 AK8:AK19 Y16:AJ19">
    <cfRule type="cellIs" dxfId="318" priority="43" stopIfTrue="1" operator="equal">
      <formula>0</formula>
    </cfRule>
  </conditionalFormatting>
  <conditionalFormatting sqref="D16:O19">
    <cfRule type="cellIs" dxfId="317" priority="44" stopIfTrue="1" operator="equal">
      <formula>0</formula>
    </cfRule>
  </conditionalFormatting>
  <conditionalFormatting sqref="D26:O26 P21:P23 AK21:AK23 J23:O23 P25:P26 AK25:AK26">
    <cfRule type="cellIs" dxfId="316" priority="41" stopIfTrue="1" operator="equal">
      <formula>0</formula>
    </cfRule>
  </conditionalFormatting>
  <conditionalFormatting sqref="D25:O25">
    <cfRule type="cellIs" dxfId="315" priority="42" stopIfTrue="1" operator="equal">
      <formula>0</formula>
    </cfRule>
  </conditionalFormatting>
  <conditionalFormatting sqref="Y26:AJ26 AE23:AJ23">
    <cfRule type="cellIs" dxfId="314" priority="39" stopIfTrue="1" operator="equal">
      <formula>0</formula>
    </cfRule>
  </conditionalFormatting>
  <conditionalFormatting sqref="Y25:AJ25">
    <cfRule type="cellIs" dxfId="313" priority="40" stopIfTrue="1" operator="equal">
      <formula>0</formula>
    </cfRule>
  </conditionalFormatting>
  <conditionalFormatting sqref="D97:P97 D99:P101 I89:P90 D93:K95 I91:K92">
    <cfRule type="cellIs" dxfId="312" priority="38" stopIfTrue="1" operator="equal">
      <formula>0</formula>
    </cfRule>
  </conditionalFormatting>
  <conditionalFormatting sqref="Y97:AF97 Y99:AF101 Y93:AF95 AD89:AK90 AD91:AF92">
    <cfRule type="cellIs" dxfId="311" priority="36" stopIfTrue="1" operator="equal">
      <formula>0</formula>
    </cfRule>
  </conditionalFormatting>
  <conditionalFormatting sqref="AA92:AB92 Y92">
    <cfRule type="cellIs" dxfId="310" priority="23" stopIfTrue="1" operator="equal">
      <formula>0</formula>
    </cfRule>
  </conditionalFormatting>
  <conditionalFormatting sqref="AA91:AC91">
    <cfRule type="cellIs" dxfId="309" priority="27" stopIfTrue="1" operator="equal">
      <formula>0</formula>
    </cfRule>
  </conditionalFormatting>
  <conditionalFormatting sqref="AA90:AC90">
    <cfRule type="cellIs" dxfId="308" priority="25" stopIfTrue="1" operator="equal">
      <formula>0</formula>
    </cfRule>
  </conditionalFormatting>
  <conditionalFormatting sqref="AA89:AC89">
    <cfRule type="cellIs" dxfId="307" priority="24" stopIfTrue="1" operator="equal">
      <formula>0</formula>
    </cfRule>
  </conditionalFormatting>
  <conditionalFormatting sqref="AC92">
    <cfRule type="cellIs" dxfId="306" priority="22" stopIfTrue="1" operator="equal">
      <formula>0</formula>
    </cfRule>
  </conditionalFormatting>
  <conditionalFormatting sqref="G62:I62">
    <cfRule type="expression" dxfId="305" priority="19" stopIfTrue="1">
      <formula>SUM($G$53:$I$61)&lt;&gt;1</formula>
    </cfRule>
  </conditionalFormatting>
  <conditionalFormatting sqref="AB62:AD62">
    <cfRule type="expression" dxfId="304" priority="17" stopIfTrue="1">
      <formula>SUM($G$53:$I$61)&lt;&gt;1</formula>
    </cfRule>
    <cfRule type="expression" dxfId="303" priority="18" stopIfTrue="1">
      <formula>SUM($AB$53:$AD$61)&lt;&gt;1</formula>
    </cfRule>
  </conditionalFormatting>
  <conditionalFormatting sqref="D81:O82">
    <cfRule type="expression" dxfId="302" priority="16" stopIfTrue="1">
      <formula>Consolidación?="NO"</formula>
    </cfRule>
  </conditionalFormatting>
  <conditionalFormatting sqref="Y81:AJ82">
    <cfRule type="expression" dxfId="301" priority="15" stopIfTrue="1">
      <formula>Consolidación?="NO"</formula>
    </cfRule>
  </conditionalFormatting>
  <conditionalFormatting sqref="B80:C80">
    <cfRule type="expression" dxfId="300" priority="12" stopIfTrue="1">
      <formula>SUM($D$80:$O$80)&lt;&gt;Acreedores_Comerciales</formula>
    </cfRule>
  </conditionalFormatting>
  <conditionalFormatting sqref="B81:C81">
    <cfRule type="expression" dxfId="299" priority="13" stopIfTrue="1">
      <formula>SUM($D$81:$O$81)&lt;&gt;Salarios_a_Pagar</formula>
    </cfRule>
  </conditionalFormatting>
  <conditionalFormatting sqref="B82:C82">
    <cfRule type="expression" dxfId="298" priority="14" stopIfTrue="1">
      <formula>SUM($D$82:$O$82)&lt;&gt;Otros_Acreedores_CP_HP</formula>
    </cfRule>
  </conditionalFormatting>
  <conditionalFormatting sqref="U81:V81">
    <cfRule type="expression" dxfId="297" priority="10" stopIfTrue="1">
      <formula>SUM($Y$81:$AJ$81)&lt;&gt;$Q$81</formula>
    </cfRule>
  </conditionalFormatting>
  <conditionalFormatting sqref="U80:V80">
    <cfRule type="expression" dxfId="296" priority="11" stopIfTrue="1">
      <formula>SUM($Y$80:$AJ$80)&lt;&gt;$Q$80</formula>
    </cfRule>
  </conditionalFormatting>
  <conditionalFormatting sqref="U82:V82">
    <cfRule type="expression" dxfId="295" priority="9" stopIfTrue="1">
      <formula>SUM($Y$82:$AJ$82)&lt;&gt;$Q$82</formula>
    </cfRule>
  </conditionalFormatting>
  <conditionalFormatting sqref="F89:H89 D89">
    <cfRule type="cellIs" dxfId="294" priority="4" stopIfTrue="1" operator="equal">
      <formula>0</formula>
    </cfRule>
  </conditionalFormatting>
  <conditionalFormatting sqref="F91:H91 D91">
    <cfRule type="cellIs" dxfId="293" priority="8" stopIfTrue="1" operator="equal">
      <formula>0</formula>
    </cfRule>
  </conditionalFormatting>
  <conditionalFormatting sqref="H92">
    <cfRule type="cellIs" dxfId="292" priority="7" stopIfTrue="1" operator="equal">
      <formula>0</formula>
    </cfRule>
  </conditionalFormatting>
  <conditionalFormatting sqref="F92:G92 D92">
    <cfRule type="cellIs" dxfId="291" priority="6" stopIfTrue="1" operator="equal">
      <formula>0</formula>
    </cfRule>
  </conditionalFormatting>
  <conditionalFormatting sqref="F90:H90 D90">
    <cfRule type="cellIs" dxfId="290" priority="5" stopIfTrue="1" operator="equal">
      <formula>0</formula>
    </cfRule>
  </conditionalFormatting>
  <conditionalFormatting sqref="Y89">
    <cfRule type="cellIs" dxfId="289" priority="1" stopIfTrue="1" operator="equal">
      <formula>0</formula>
    </cfRule>
  </conditionalFormatting>
  <conditionalFormatting sqref="Y91">
    <cfRule type="cellIs" dxfId="288" priority="3" stopIfTrue="1" operator="equal">
      <formula>0</formula>
    </cfRule>
  </conditionalFormatting>
  <conditionalFormatting sqref="Y90">
    <cfRule type="cellIs" dxfId="287" priority="2" stopIfTrue="1" operator="equal">
      <formula>0</formula>
    </cfRule>
  </conditionalFormatting>
  <dataValidations count="2">
    <dataValidation allowBlank="1" showInputMessage="1" sqref="C21 D4 Y30 A95:B95 C45 Y65:AL77 H51:I51 AC51:AD51 Y48:AK49 U80:U82 Y45 C3 A48:B49 Y21:Y23 D48:P49 V65 Q65:Q73 C65:C74 Q75:Q78 D65:P77 U76:U77 AB51:AB64 D51:D64 Y51:Y64 G51:G64 S81 Y79:AL82 D79:Q82 B79:B82 C80:C82 V81:V82 C30 D22:D23 Y3:Y4"/>
    <dataValidation type="decimal" operator="greaterThanOrEqual" allowBlank="1" showInputMessage="1" error="Solo valores mayores o iguales a cero." sqref="A76:B77 K5:P5 Y5:AC5 E5:I5 Q26:U26 AL25 V21:X26 U21:U24 A97:K104 L89:P90 L97:P101 V34:V35 Y97:AF104 A89:B94 I4 K4:R4 D24:P24 A21:B26 AA89:AC92 P21:P23 J23:O23 C25:P26 AK21:AK23 AE23:AJ23 Y24:AK26 AD4 AF4 C4:C19 V37:V41 B33:B34 B37:B41 C33:C41 A33:A41 W34:IV41 D34:U41 Y46:AJ46 AK45:IV46 Q45:X46 J46:P46 A45:B46 P45 Y89:Y92 C46:H46 AV23:AW26 AG4:AJ7 Z6:AF7 C22:C24 Z8:AJ19 Y6:Y19 D6:P19 S3:X19 Q5:R19 AL26:AM26 AX3:IV19 R21:R24 AX21:IV26 AV3:AW6 A75:C75 A85:IV87 AL89:IV104 Q89:X104 F89:H92 AG89:AK90 C89:C95 I89:K95 D93:H95 D89:D92 AD89:AF95 Y93:AC95 A3:B19 Q21:Q25 S21:T25 AN21:AU26 AL21:AM24 AO3:AU19 AK4:AN19">
      <formula1>0</formula1>
    </dataValidation>
  </dataValidations>
  <printOptions horizontalCentered="1" verticalCentered="1"/>
  <pageMargins left="0.39370078740157483" right="0.19685039370078741" top="0.39370078740157483" bottom="0.39370078740157483" header="0.31496062992125984" footer="0.31496062992125984"/>
  <pageSetup paperSize="9" scale="39" orientation="landscape" r:id="rId1"/>
  <headerFooter>
    <oddFooter>&amp;A</oddFooter>
  </headerFooter>
  <colBreaks count="1" manualBreakCount="1">
    <brk id="20"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7"/>
  <sheetViews>
    <sheetView showGridLines="0" zoomScale="60" zoomScaleNormal="60" workbookViewId="0"/>
  </sheetViews>
  <sheetFormatPr baseColWidth="10" defaultRowHeight="12.75"/>
  <cols>
    <col min="1" max="1" width="29.83203125" customWidth="1"/>
    <col min="2" max="2" width="14.83203125" customWidth="1"/>
    <col min="3" max="3" width="32" customWidth="1"/>
    <col min="4" max="4" width="17.83203125" customWidth="1"/>
    <col min="5" max="5" width="18.33203125" customWidth="1"/>
    <col min="6" max="6" width="19.1640625" customWidth="1"/>
    <col min="7" max="15" width="17.83203125" customWidth="1"/>
    <col min="16" max="16" width="21.83203125" customWidth="1"/>
    <col min="17" max="17" width="10.33203125" customWidth="1"/>
    <col min="18" max="18" width="8.5" customWidth="1"/>
    <col min="19" max="19" width="6.5" customWidth="1"/>
    <col min="20" max="20" width="2" style="2058" customWidth="1"/>
    <col min="23" max="24" width="18" customWidth="1"/>
    <col min="25" max="25" width="19.33203125" customWidth="1"/>
    <col min="26" max="34" width="18" customWidth="1"/>
    <col min="35" max="35" width="22" customWidth="1"/>
  </cols>
  <sheetData>
    <row r="1" spans="1:35" ht="14.25" customHeight="1"/>
    <row r="2" spans="1:35" ht="14.25" customHeight="1"/>
    <row r="3" spans="1:35" ht="33" customHeight="1">
      <c r="C3" s="3350" t="s">
        <v>828</v>
      </c>
      <c r="D3" s="3347"/>
      <c r="E3" s="3347"/>
      <c r="F3" s="3347"/>
      <c r="G3" s="3347"/>
      <c r="H3" s="3347"/>
      <c r="I3" s="3347"/>
      <c r="J3" s="3347"/>
      <c r="K3" s="3347"/>
      <c r="L3" s="3347"/>
      <c r="M3" s="3347"/>
      <c r="N3" s="3347"/>
      <c r="O3" s="3347"/>
      <c r="W3" s="3350" t="s">
        <v>828</v>
      </c>
      <c r="X3" s="3351"/>
      <c r="Y3" s="3351"/>
      <c r="Z3" s="3351"/>
      <c r="AA3" s="3351"/>
      <c r="AB3" s="3352"/>
      <c r="AC3" s="3352"/>
      <c r="AD3" s="3352"/>
      <c r="AE3" s="3352"/>
      <c r="AF3" s="3352"/>
      <c r="AG3" s="3352"/>
      <c r="AH3" s="3352"/>
    </row>
    <row r="4" spans="1:35" s="1997" customFormat="1" ht="24" customHeight="1">
      <c r="I4" s="2022" t="str">
        <f>'3.Costes D.V. y Pagos (1º,2º)'!I22</f>
        <v>1º Ejercicio 0</v>
      </c>
      <c r="T4" s="2058"/>
      <c r="AB4" s="2022" t="str">
        <f>'3.Costes D.V. y Pagos (1º,2º)'!AD22</f>
        <v>2º Ejercicio 1</v>
      </c>
    </row>
    <row r="5" spans="1:35" ht="24" customHeight="1" thickBot="1"/>
    <row r="6" spans="1:35" ht="21.75" customHeight="1" thickTop="1" thickBot="1">
      <c r="A6" s="3467" t="s">
        <v>38</v>
      </c>
      <c r="B6" s="3511"/>
      <c r="C6" s="1863" t="s">
        <v>629</v>
      </c>
      <c r="D6" s="1826" t="str">
        <f>Enero</f>
        <v>Enero</v>
      </c>
      <c r="E6" s="2911" t="str">
        <f>'2.Ventas y Cobros (Ej 1º,2º)'!E8</f>
        <v>Febrero</v>
      </c>
      <c r="F6" s="2911" t="str">
        <f>'2.Ventas y Cobros (Ej 1º,2º)'!F8</f>
        <v>Marzo</v>
      </c>
      <c r="G6" s="2911" t="str">
        <f>'2.Ventas y Cobros (Ej 1º,2º)'!G8</f>
        <v>Abril</v>
      </c>
      <c r="H6" s="2911" t="str">
        <f>'2.Ventas y Cobros (Ej 1º,2º)'!H8</f>
        <v>Mayo</v>
      </c>
      <c r="I6" s="2911" t="str">
        <f>'2.Ventas y Cobros (Ej 1º,2º)'!I8</f>
        <v>Junio</v>
      </c>
      <c r="J6" s="2911" t="str">
        <f>'2.Ventas y Cobros (Ej 1º,2º)'!J8</f>
        <v>Julio</v>
      </c>
      <c r="K6" s="2911" t="str">
        <f>'2.Ventas y Cobros (Ej 1º,2º)'!K8</f>
        <v>Agosto</v>
      </c>
      <c r="L6" s="2911" t="str">
        <f>'2.Ventas y Cobros (Ej 1º,2º)'!L8</f>
        <v>Septiembre</v>
      </c>
      <c r="M6" s="2911" t="str">
        <f>'2.Ventas y Cobros (Ej 1º,2º)'!M8</f>
        <v>Octubre</v>
      </c>
      <c r="N6" s="2911" t="str">
        <f>'2.Ventas y Cobros (Ej 1º,2º)'!N8</f>
        <v>Noviembre</v>
      </c>
      <c r="O6" s="1826" t="str">
        <f>'2.Ventas y Cobros (Ej 1º,2º)'!O8</f>
        <v>Diciembre</v>
      </c>
      <c r="P6" s="1808" t="s">
        <v>16</v>
      </c>
      <c r="V6" s="1"/>
      <c r="W6" s="2061" t="str">
        <f>Enero</f>
        <v>Enero</v>
      </c>
      <c r="X6" s="2908" t="str">
        <f>'2.Ventas y Cobros (Ej 1º,2º)'!X8</f>
        <v>Febrero</v>
      </c>
      <c r="Y6" s="2908" t="str">
        <f>'2.Ventas y Cobros (Ej 1º,2º)'!Y8</f>
        <v>Marzo</v>
      </c>
      <c r="Z6" s="2908" t="str">
        <f>'2.Ventas y Cobros (Ej 1º,2º)'!Z8</f>
        <v>Abril</v>
      </c>
      <c r="AA6" s="2908" t="str">
        <f>'2.Ventas y Cobros (Ej 1º,2º)'!AA8</f>
        <v>Mayo</v>
      </c>
      <c r="AB6" s="2908" t="str">
        <f>'2.Ventas y Cobros (Ej 1º,2º)'!AB8</f>
        <v>Junio</v>
      </c>
      <c r="AC6" s="2908" t="str">
        <f>'2.Ventas y Cobros (Ej 1º,2º)'!AC8</f>
        <v>Julio</v>
      </c>
      <c r="AD6" s="2908" t="str">
        <f>'2.Ventas y Cobros (Ej 1º,2º)'!AD8</f>
        <v>Agosto</v>
      </c>
      <c r="AE6" s="2908" t="str">
        <f>'2.Ventas y Cobros (Ej 1º,2º)'!AE8</f>
        <v>Septiembre</v>
      </c>
      <c r="AF6" s="2908" t="str">
        <f>'2.Ventas y Cobros (Ej 1º,2º)'!AF8</f>
        <v>Octubre</v>
      </c>
      <c r="AG6" s="2908" t="str">
        <f>'2.Ventas y Cobros (Ej 1º,2º)'!AG8</f>
        <v>Noviembre</v>
      </c>
      <c r="AH6" s="2062" t="str">
        <f>'2.Ventas y Cobros (Ej 1º,2º)'!AH8</f>
        <v>Diciembre</v>
      </c>
      <c r="AI6" s="2063" t="s">
        <v>16</v>
      </c>
    </row>
    <row r="7" spans="1:35" ht="42" customHeight="1">
      <c r="A7" s="3507" t="s">
        <v>845</v>
      </c>
      <c r="B7" s="3508"/>
      <c r="C7" s="1866">
        <v>0</v>
      </c>
      <c r="D7" s="2035">
        <f>'2.Ventas y Cobros (Ej 1º,2º)'!D25*$C$7</f>
        <v>0</v>
      </c>
      <c r="E7" s="2905">
        <f>'2.Ventas y Cobros (Ej 1º,2º)'!E25*$C$7</f>
        <v>0</v>
      </c>
      <c r="F7" s="2905">
        <f>'2.Ventas y Cobros (Ej 1º,2º)'!F25*$C$7</f>
        <v>0</v>
      </c>
      <c r="G7" s="2905">
        <f>'2.Ventas y Cobros (Ej 1º,2º)'!G25*$C$7</f>
        <v>0</v>
      </c>
      <c r="H7" s="2905">
        <f>'2.Ventas y Cobros (Ej 1º,2º)'!H25*$C$7</f>
        <v>0</v>
      </c>
      <c r="I7" s="2905">
        <f>'2.Ventas y Cobros (Ej 1º,2º)'!I25*$C$7</f>
        <v>0</v>
      </c>
      <c r="J7" s="2905">
        <f>'2.Ventas y Cobros (Ej 1º,2º)'!J25*$C$7</f>
        <v>0</v>
      </c>
      <c r="K7" s="2905">
        <f>'2.Ventas y Cobros (Ej 1º,2º)'!K25*$C$7</f>
        <v>0</v>
      </c>
      <c r="L7" s="2905">
        <f>'2.Ventas y Cobros (Ej 1º,2º)'!L25*$C$7</f>
        <v>0</v>
      </c>
      <c r="M7" s="2905">
        <f>'2.Ventas y Cobros (Ej 1º,2º)'!M25*$C$7</f>
        <v>0</v>
      </c>
      <c r="N7" s="2905">
        <f>'2.Ventas y Cobros (Ej 1º,2º)'!N25*$C$7</f>
        <v>0</v>
      </c>
      <c r="O7" s="2036">
        <f>'2.Ventas y Cobros (Ej 1º,2º)'!O25*$C$7</f>
        <v>0</v>
      </c>
      <c r="P7" s="2033">
        <f>SUM(D7:O7)</f>
        <v>0</v>
      </c>
      <c r="U7" s="3518">
        <f>C7</f>
        <v>0</v>
      </c>
      <c r="V7" s="3519"/>
      <c r="W7" s="2036">
        <f>'2.Ventas y Cobros (Ej 1º,2º)'!W25*$U$7</f>
        <v>0</v>
      </c>
      <c r="X7" s="2905">
        <f>'2.Ventas y Cobros (Ej 1º,2º)'!X25*$U$7</f>
        <v>0</v>
      </c>
      <c r="Y7" s="2905">
        <f>'2.Ventas y Cobros (Ej 1º,2º)'!Y25*$U$7</f>
        <v>0</v>
      </c>
      <c r="Z7" s="2905">
        <f>'2.Ventas y Cobros (Ej 1º,2º)'!Z25*$U$7</f>
        <v>0</v>
      </c>
      <c r="AA7" s="2905">
        <f>'2.Ventas y Cobros (Ej 1º,2º)'!AA25*$U$7</f>
        <v>0</v>
      </c>
      <c r="AB7" s="2905">
        <f>'2.Ventas y Cobros (Ej 1º,2º)'!AB25*$U$7</f>
        <v>0</v>
      </c>
      <c r="AC7" s="2905">
        <f>'2.Ventas y Cobros (Ej 1º,2º)'!AC25*$U$7</f>
        <v>0</v>
      </c>
      <c r="AD7" s="2905">
        <f>'2.Ventas y Cobros (Ej 1º,2º)'!AD25*$U$7</f>
        <v>0</v>
      </c>
      <c r="AE7" s="2905">
        <f>'2.Ventas y Cobros (Ej 1º,2º)'!AE25*$U$7</f>
        <v>0</v>
      </c>
      <c r="AF7" s="2905">
        <f>'2.Ventas y Cobros (Ej 1º,2º)'!AF25*$U$7</f>
        <v>0</v>
      </c>
      <c r="AG7" s="2905">
        <f>'2.Ventas y Cobros (Ej 1º,2º)'!AG25*$U$7</f>
        <v>0</v>
      </c>
      <c r="AH7" s="2036">
        <f>'2.Ventas y Cobros (Ej 1º,2º)'!AH25*$U$7</f>
        <v>0</v>
      </c>
      <c r="AI7" s="2033">
        <f>SUM(W7:AH7)</f>
        <v>0</v>
      </c>
    </row>
    <row r="8" spans="1:35" ht="42" customHeight="1">
      <c r="A8" s="3509" t="s">
        <v>846</v>
      </c>
      <c r="B8" s="3510"/>
      <c r="C8" s="1867">
        <v>0</v>
      </c>
      <c r="D8" s="2036">
        <f>'2.Ventas y Cobros (Ej 1º,2º)'!D25*$C$8</f>
        <v>0</v>
      </c>
      <c r="E8" s="2906">
        <f>'2.Ventas y Cobros (Ej 1º,2º)'!E25*$C$8</f>
        <v>0</v>
      </c>
      <c r="F8" s="2906">
        <f>'2.Ventas y Cobros (Ej 1º,2º)'!F25*$C$8</f>
        <v>0</v>
      </c>
      <c r="G8" s="2906">
        <f>'2.Ventas y Cobros (Ej 1º,2º)'!G25*$C$8</f>
        <v>0</v>
      </c>
      <c r="H8" s="2906">
        <f>'2.Ventas y Cobros (Ej 1º,2º)'!H25*$C$8</f>
        <v>0</v>
      </c>
      <c r="I8" s="2906">
        <f>'2.Ventas y Cobros (Ej 1º,2º)'!I25*$C$8</f>
        <v>0</v>
      </c>
      <c r="J8" s="2906">
        <f>'2.Ventas y Cobros (Ej 1º,2º)'!J25*$C$8</f>
        <v>0</v>
      </c>
      <c r="K8" s="2906">
        <f>'2.Ventas y Cobros (Ej 1º,2º)'!K25*$C$8</f>
        <v>0</v>
      </c>
      <c r="L8" s="2906">
        <f>'2.Ventas y Cobros (Ej 1º,2º)'!L25*$C$8</f>
        <v>0</v>
      </c>
      <c r="M8" s="2906">
        <f>'2.Ventas y Cobros (Ej 1º,2º)'!M25*$C$8</f>
        <v>0</v>
      </c>
      <c r="N8" s="2906">
        <f>'2.Ventas y Cobros (Ej 1º,2º)'!N25*$C$8</f>
        <v>0</v>
      </c>
      <c r="O8" s="2036">
        <f>'2.Ventas y Cobros (Ej 1º,2º)'!O25*$C$8</f>
        <v>0</v>
      </c>
      <c r="P8" s="2034">
        <f>SUM(D8:O8)</f>
        <v>0</v>
      </c>
      <c r="U8" s="3520">
        <f>C8</f>
        <v>0</v>
      </c>
      <c r="V8" s="3521"/>
      <c r="W8" s="2039">
        <f>'2.Ventas y Cobros (Ej 1º,2º)'!W25*$U$8</f>
        <v>0</v>
      </c>
      <c r="X8" s="2909">
        <f>'2.Ventas y Cobros (Ej 1º,2º)'!X25*$U$8</f>
        <v>0</v>
      </c>
      <c r="Y8" s="2909">
        <f>'2.Ventas y Cobros (Ej 1º,2º)'!Y25*$U$8</f>
        <v>0</v>
      </c>
      <c r="Z8" s="2909">
        <f>'2.Ventas y Cobros (Ej 1º,2º)'!Z25*$U$8</f>
        <v>0</v>
      </c>
      <c r="AA8" s="2909">
        <f>'2.Ventas y Cobros (Ej 1º,2º)'!AA25*$U$8</f>
        <v>0</v>
      </c>
      <c r="AB8" s="2909">
        <f>'2.Ventas y Cobros (Ej 1º,2º)'!AB25*$U$8</f>
        <v>0</v>
      </c>
      <c r="AC8" s="2909">
        <f>'2.Ventas y Cobros (Ej 1º,2º)'!AC25*$U$8</f>
        <v>0</v>
      </c>
      <c r="AD8" s="2909">
        <f>'2.Ventas y Cobros (Ej 1º,2º)'!AD25*$U$8</f>
        <v>0</v>
      </c>
      <c r="AE8" s="2909">
        <f>'2.Ventas y Cobros (Ej 1º,2º)'!AE25*$U$8</f>
        <v>0</v>
      </c>
      <c r="AF8" s="2909">
        <f>'2.Ventas y Cobros (Ej 1º,2º)'!AF25*$U$8</f>
        <v>0</v>
      </c>
      <c r="AG8" s="2909">
        <f>'2.Ventas y Cobros (Ej 1º,2º)'!AG25*$U$8</f>
        <v>0</v>
      </c>
      <c r="AH8" s="2040">
        <f>'2.Ventas y Cobros (Ej 1º,2º)'!AH25*$U$8</f>
        <v>0</v>
      </c>
      <c r="AI8" s="2034">
        <f>SUM(W8:AH8)</f>
        <v>0</v>
      </c>
    </row>
    <row r="9" spans="1:35" ht="42" customHeight="1" thickBot="1">
      <c r="A9" s="3512" t="s">
        <v>847</v>
      </c>
      <c r="B9" s="3513"/>
      <c r="C9" s="3514"/>
      <c r="D9" s="2037"/>
      <c r="E9" s="2907"/>
      <c r="F9" s="2907"/>
      <c r="G9" s="2907"/>
      <c r="H9" s="2907"/>
      <c r="I9" s="2907"/>
      <c r="J9" s="2907"/>
      <c r="K9" s="2907"/>
      <c r="L9" s="2907"/>
      <c r="M9" s="2907"/>
      <c r="N9" s="2907"/>
      <c r="O9" s="2038"/>
      <c r="P9" s="2034">
        <f>SUM(D9:O9)</f>
        <v>0</v>
      </c>
      <c r="V9" s="2041">
        <v>0</v>
      </c>
      <c r="W9" s="2037"/>
      <c r="X9" s="2907"/>
      <c r="Y9" s="2907"/>
      <c r="Z9" s="2907"/>
      <c r="AA9" s="2907"/>
      <c r="AB9" s="2907"/>
      <c r="AC9" s="2907"/>
      <c r="AD9" s="2907"/>
      <c r="AE9" s="2907"/>
      <c r="AF9" s="2907"/>
      <c r="AG9" s="2907"/>
      <c r="AH9" s="2042"/>
      <c r="AI9" s="2034">
        <f>SUM(W9:AH9)</f>
        <v>0</v>
      </c>
    </row>
    <row r="10" spans="1:35" s="1581" customFormat="1" ht="25.5" customHeight="1" thickTop="1" thickBot="1">
      <c r="A10" s="3515" t="s">
        <v>844</v>
      </c>
      <c r="B10" s="3516"/>
      <c r="C10" s="3517"/>
      <c r="D10" s="2064">
        <f t="shared" ref="D10:O10" si="0">SUM(D7:D9)</f>
        <v>0</v>
      </c>
      <c r="E10" s="2910">
        <f t="shared" si="0"/>
        <v>0</v>
      </c>
      <c r="F10" s="2910">
        <f t="shared" si="0"/>
        <v>0</v>
      </c>
      <c r="G10" s="2910">
        <f t="shared" si="0"/>
        <v>0</v>
      </c>
      <c r="H10" s="2910">
        <f t="shared" si="0"/>
        <v>0</v>
      </c>
      <c r="I10" s="2910">
        <f t="shared" si="0"/>
        <v>0</v>
      </c>
      <c r="J10" s="2910">
        <f t="shared" si="0"/>
        <v>0</v>
      </c>
      <c r="K10" s="2910">
        <f t="shared" si="0"/>
        <v>0</v>
      </c>
      <c r="L10" s="2910">
        <f t="shared" si="0"/>
        <v>0</v>
      </c>
      <c r="M10" s="2910">
        <f t="shared" si="0"/>
        <v>0</v>
      </c>
      <c r="N10" s="2910">
        <f t="shared" si="0"/>
        <v>0</v>
      </c>
      <c r="O10" s="2064">
        <f t="shared" si="0"/>
        <v>0</v>
      </c>
      <c r="P10" s="2065">
        <f>SUM(D10:O10)</f>
        <v>0</v>
      </c>
      <c r="T10" s="2059"/>
      <c r="V10" s="2030"/>
      <c r="W10" s="2066">
        <f t="shared" ref="W10:AH10" si="1">SUM(W7:W9)</f>
        <v>0</v>
      </c>
      <c r="X10" s="2910">
        <f t="shared" si="1"/>
        <v>0</v>
      </c>
      <c r="Y10" s="2910">
        <f t="shared" si="1"/>
        <v>0</v>
      </c>
      <c r="Z10" s="2910">
        <f t="shared" si="1"/>
        <v>0</v>
      </c>
      <c r="AA10" s="2910">
        <f t="shared" si="1"/>
        <v>0</v>
      </c>
      <c r="AB10" s="2910">
        <f t="shared" si="1"/>
        <v>0</v>
      </c>
      <c r="AC10" s="2910">
        <f t="shared" si="1"/>
        <v>0</v>
      </c>
      <c r="AD10" s="2910">
        <f t="shared" si="1"/>
        <v>0</v>
      </c>
      <c r="AE10" s="2910">
        <f t="shared" si="1"/>
        <v>0</v>
      </c>
      <c r="AF10" s="2910">
        <f t="shared" si="1"/>
        <v>0</v>
      </c>
      <c r="AG10" s="2910">
        <f t="shared" si="1"/>
        <v>0</v>
      </c>
      <c r="AH10" s="2064">
        <f t="shared" si="1"/>
        <v>0</v>
      </c>
      <c r="AI10" s="2067">
        <f>SUM(W10:AH10)</f>
        <v>0</v>
      </c>
    </row>
    <row r="11" spans="1:35" ht="21.75" customHeight="1" thickTop="1"/>
    <row r="12" spans="1:35" s="1" customFormat="1" ht="15" hidden="1" customHeight="1" thickTop="1">
      <c r="A12" s="3526" t="s">
        <v>609</v>
      </c>
      <c r="B12" s="3527"/>
      <c r="C12" s="3528"/>
      <c r="D12" s="2044">
        <f>('4.Costes Mk y Métricas (1º,2º)'!D10*'1.Datos Básicos. Product-Serv'!$B$17)*0</f>
        <v>0</v>
      </c>
      <c r="E12" s="2044">
        <f>('4.Costes Mk y Métricas (1º,2º)'!E10*'1.Datos Básicos. Product-Serv'!$B$17)*0</f>
        <v>0</v>
      </c>
      <c r="F12" s="2044">
        <f>('4.Costes Mk y Métricas (1º,2º)'!F10*'1.Datos Básicos. Product-Serv'!$B$17)*0</f>
        <v>0</v>
      </c>
      <c r="G12" s="2044">
        <f>('4.Costes Mk y Métricas (1º,2º)'!G10*'1.Datos Básicos. Product-Serv'!$B$17)*0</f>
        <v>0</v>
      </c>
      <c r="H12" s="2044">
        <f>('4.Costes Mk y Métricas (1º,2º)'!H10*'1.Datos Básicos. Product-Serv'!$B$17)*0</f>
        <v>0</v>
      </c>
      <c r="I12" s="2044">
        <f>('4.Costes Mk y Métricas (1º,2º)'!I10*'1.Datos Básicos. Product-Serv'!$B$17)*0</f>
        <v>0</v>
      </c>
      <c r="J12" s="2044">
        <f>('4.Costes Mk y Métricas (1º,2º)'!J10*'1.Datos Básicos. Product-Serv'!$B$17)*0</f>
        <v>0</v>
      </c>
      <c r="K12" s="2044">
        <f>('4.Costes Mk y Métricas (1º,2º)'!K10*'1.Datos Básicos. Product-Serv'!$B$17)*0</f>
        <v>0</v>
      </c>
      <c r="L12" s="2044">
        <f>('4.Costes Mk y Métricas (1º,2º)'!L10*'1.Datos Básicos. Product-Serv'!$B$17)*0</f>
        <v>0</v>
      </c>
      <c r="M12" s="2044">
        <f>('4.Costes Mk y Métricas (1º,2º)'!M10*'1.Datos Básicos. Product-Serv'!$B$17)*0</f>
        <v>0</v>
      </c>
      <c r="N12" s="2044">
        <f>('4.Costes Mk y Métricas (1º,2º)'!N10*'1.Datos Básicos. Product-Serv'!$B$17)*0</f>
        <v>0</v>
      </c>
      <c r="O12" s="2044">
        <f>('4.Costes Mk y Métricas (1º,2º)'!O10*'1.Datos Básicos. Product-Serv'!$B$17)*0</f>
        <v>0</v>
      </c>
      <c r="P12" s="2045">
        <f>SUM(D12:O12)</f>
        <v>0</v>
      </c>
      <c r="Q12" s="2060"/>
      <c r="R12" s="2060"/>
      <c r="S12" s="2060"/>
      <c r="T12" s="1829"/>
      <c r="V12" s="2060"/>
      <c r="W12" s="2046">
        <f>('4.Costes Mk y Métricas (1º,2º)'!W10*'1.Datos Básicos. Product-Serv'!$B$17)*0</f>
        <v>0</v>
      </c>
      <c r="X12" s="2044">
        <f>('4.Costes Mk y Métricas (1º,2º)'!X10*'1.Datos Básicos. Product-Serv'!$B$17)*0</f>
        <v>0</v>
      </c>
      <c r="Y12" s="2044">
        <f>('4.Costes Mk y Métricas (1º,2º)'!Y10*'1.Datos Básicos. Product-Serv'!$B$17)*0</f>
        <v>0</v>
      </c>
      <c r="Z12" s="2044">
        <f>('4.Costes Mk y Métricas (1º,2º)'!Z10*'1.Datos Básicos. Product-Serv'!$B$17)*0</f>
        <v>0</v>
      </c>
      <c r="AA12" s="2044">
        <f>('4.Costes Mk y Métricas (1º,2º)'!AA10*'1.Datos Básicos. Product-Serv'!$B$17)*0</f>
        <v>0</v>
      </c>
      <c r="AB12" s="2044">
        <f>('4.Costes Mk y Métricas (1º,2º)'!AB10*'1.Datos Básicos. Product-Serv'!$B$17)*0</f>
        <v>0</v>
      </c>
      <c r="AC12" s="2044">
        <f>('4.Costes Mk y Métricas (1º,2º)'!AC10*'1.Datos Básicos. Product-Serv'!$B$17)*0</f>
        <v>0</v>
      </c>
      <c r="AD12" s="2044">
        <f>('4.Costes Mk y Métricas (1º,2º)'!AD10*'1.Datos Básicos. Product-Serv'!$B$17)*0</f>
        <v>0</v>
      </c>
      <c r="AE12" s="2044">
        <f>('4.Costes Mk y Métricas (1º,2º)'!AE10*'1.Datos Básicos. Product-Serv'!$B$17)*0</f>
        <v>0</v>
      </c>
      <c r="AF12" s="2044">
        <f>('4.Costes Mk y Métricas (1º,2º)'!AF10*'1.Datos Básicos. Product-Serv'!$B$17)*0</f>
        <v>0</v>
      </c>
      <c r="AG12" s="2044">
        <f>('4.Costes Mk y Métricas (1º,2º)'!AG10*'1.Datos Básicos. Product-Serv'!$B$17)*0</f>
        <v>0</v>
      </c>
      <c r="AH12" s="2044">
        <f>('4.Costes Mk y Métricas (1º,2º)'!AH10*'1.Datos Básicos. Product-Serv'!$B$17)*0</f>
        <v>0</v>
      </c>
      <c r="AI12" s="2045">
        <f>SUM(W12:AH12)</f>
        <v>0</v>
      </c>
    </row>
    <row r="13" spans="1:35" ht="22.5" customHeight="1"/>
    <row r="14" spans="1:35" ht="22.5" customHeight="1"/>
    <row r="15" spans="1:35" ht="32.25" customHeight="1">
      <c r="C15" s="3350" t="s">
        <v>774</v>
      </c>
      <c r="D15" s="3347"/>
      <c r="E15" s="3347"/>
      <c r="F15" s="3347"/>
      <c r="G15" s="3347"/>
      <c r="H15" s="3347"/>
      <c r="I15" s="3347"/>
      <c r="J15" s="3347"/>
      <c r="K15" s="3347"/>
      <c r="L15" s="3347"/>
      <c r="M15" s="3347"/>
      <c r="N15" s="3347"/>
      <c r="O15" s="3347"/>
      <c r="W15" s="3350" t="s">
        <v>657</v>
      </c>
      <c r="X15" s="3351"/>
      <c r="Y15" s="3351"/>
      <c r="Z15" s="3351"/>
      <c r="AA15" s="3351"/>
      <c r="AB15" s="3352"/>
      <c r="AC15" s="3352"/>
      <c r="AD15" s="3352"/>
      <c r="AE15" s="3352"/>
      <c r="AF15" s="3352"/>
      <c r="AG15" s="3352"/>
      <c r="AH15" s="3352"/>
    </row>
    <row r="16" spans="1:35" ht="24" customHeight="1">
      <c r="I16" s="2022" t="str">
        <f>I4</f>
        <v>1º Ejercicio 0</v>
      </c>
      <c r="AB16" s="2022" t="str">
        <f>AB4</f>
        <v>2º Ejercicio 1</v>
      </c>
    </row>
    <row r="17" spans="1:35" ht="24" customHeight="1" thickBot="1"/>
    <row r="18" spans="1:35" ht="21.75" customHeight="1" thickTop="1" thickBot="1">
      <c r="A18" s="3532" t="s">
        <v>38</v>
      </c>
      <c r="B18" s="3533"/>
      <c r="C18" s="3534"/>
      <c r="D18" s="1819" t="str">
        <f>Enero</f>
        <v>Enero</v>
      </c>
      <c r="E18" s="1817" t="str">
        <f>'2.Ventas y Cobros (Ej 1º,2º)'!E8</f>
        <v>Febrero</v>
      </c>
      <c r="F18" s="1817" t="str">
        <f>'2.Ventas y Cobros (Ej 1º,2º)'!F8</f>
        <v>Marzo</v>
      </c>
      <c r="G18" s="1817" t="str">
        <f>'2.Ventas y Cobros (Ej 1º,2º)'!G8</f>
        <v>Abril</v>
      </c>
      <c r="H18" s="1817" t="str">
        <f>'2.Ventas y Cobros (Ej 1º,2º)'!H8</f>
        <v>Mayo</v>
      </c>
      <c r="I18" s="1817" t="str">
        <f>'2.Ventas y Cobros (Ej 1º,2º)'!I8</f>
        <v>Junio</v>
      </c>
      <c r="J18" s="1817" t="str">
        <f>'2.Ventas y Cobros (Ej 1º,2º)'!J8</f>
        <v>Julio</v>
      </c>
      <c r="K18" s="1817" t="str">
        <f>'2.Ventas y Cobros (Ej 1º,2º)'!K8</f>
        <v>Agosto</v>
      </c>
      <c r="L18" s="1817" t="str">
        <f>'2.Ventas y Cobros (Ej 1º,2º)'!L8</f>
        <v>Septiembre</v>
      </c>
      <c r="M18" s="1817" t="str">
        <f>'2.Ventas y Cobros (Ej 1º,2º)'!M8</f>
        <v>Octubre</v>
      </c>
      <c r="N18" s="1817" t="str">
        <f>'2.Ventas y Cobros (Ej 1º,2º)'!N8</f>
        <v>Noviembre</v>
      </c>
      <c r="O18" s="1807" t="str">
        <f>'2.Ventas y Cobros (Ej 1º,2º)'!O8</f>
        <v>Diciembre</v>
      </c>
      <c r="P18" s="1808" t="s">
        <v>7</v>
      </c>
      <c r="W18" s="1943" t="str">
        <f>'4.Costes Mk y Métricas (1º,2º)'!D18</f>
        <v>Enero</v>
      </c>
      <c r="X18" s="1944" t="str">
        <f>'4.Costes Mk y Métricas (1º,2º)'!E18</f>
        <v>Febrero</v>
      </c>
      <c r="Y18" s="1944" t="str">
        <f>'4.Costes Mk y Métricas (1º,2º)'!F18</f>
        <v>Marzo</v>
      </c>
      <c r="Z18" s="1944" t="str">
        <f>'4.Costes Mk y Métricas (1º,2º)'!G18</f>
        <v>Abril</v>
      </c>
      <c r="AA18" s="1944" t="str">
        <f>'4.Costes Mk y Métricas (1º,2º)'!H18</f>
        <v>Mayo</v>
      </c>
      <c r="AB18" s="1944" t="str">
        <f>'4.Costes Mk y Métricas (1º,2º)'!I18</f>
        <v>Junio</v>
      </c>
      <c r="AC18" s="1944" t="str">
        <f>'4.Costes Mk y Métricas (1º,2º)'!J18</f>
        <v>Julio</v>
      </c>
      <c r="AD18" s="1944" t="str">
        <f>'4.Costes Mk y Métricas (1º,2º)'!K18</f>
        <v>Agosto</v>
      </c>
      <c r="AE18" s="1944" t="str">
        <f>'4.Costes Mk y Métricas (1º,2º)'!L18</f>
        <v>Septiembre</v>
      </c>
      <c r="AF18" s="1944" t="str">
        <f>'4.Costes Mk y Métricas (1º,2º)'!M18</f>
        <v>Octubre</v>
      </c>
      <c r="AG18" s="1944" t="str">
        <f>'4.Costes Mk y Métricas (1º,2º)'!N18</f>
        <v>Noviembre</v>
      </c>
      <c r="AH18" s="2078" t="str">
        <f>'4.Costes Mk y Métricas (1º,2º)'!O18</f>
        <v>Diciembre</v>
      </c>
      <c r="AI18" s="1808" t="s">
        <v>7</v>
      </c>
    </row>
    <row r="19" spans="1:35" s="229" customFormat="1" ht="17.25" customHeight="1" thickBot="1">
      <c r="A19" s="2068"/>
      <c r="B19" s="2899" t="s">
        <v>659</v>
      </c>
      <c r="D19" s="866"/>
      <c r="E19" s="865"/>
      <c r="F19" s="865"/>
      <c r="G19" s="865"/>
      <c r="H19" s="865"/>
      <c r="I19" s="865"/>
      <c r="J19" s="865"/>
      <c r="K19" s="865"/>
      <c r="L19" s="865"/>
      <c r="M19" s="865"/>
      <c r="N19" s="865"/>
      <c r="O19" s="865"/>
      <c r="P19" s="2070"/>
      <c r="T19" s="2051"/>
      <c r="W19" s="866"/>
      <c r="X19" s="866"/>
      <c r="Y19" s="866"/>
      <c r="Z19" s="866"/>
      <c r="AA19" s="866"/>
      <c r="AB19" s="866"/>
      <c r="AC19" s="866"/>
      <c r="AD19" s="866"/>
      <c r="AE19" s="866"/>
      <c r="AF19" s="866"/>
      <c r="AG19" s="866"/>
      <c r="AH19" s="866"/>
      <c r="AI19" s="2070"/>
    </row>
    <row r="20" spans="1:35" ht="22.5" customHeight="1" thickTop="1" thickBot="1">
      <c r="A20" s="3535" t="s">
        <v>830</v>
      </c>
      <c r="B20" s="3536"/>
      <c r="C20" s="3536"/>
      <c r="D20" s="2912"/>
      <c r="E20" s="2916"/>
      <c r="F20" s="2916"/>
      <c r="G20" s="2916"/>
      <c r="H20" s="2916"/>
      <c r="I20" s="2916"/>
      <c r="J20" s="2916"/>
      <c r="K20" s="2916"/>
      <c r="L20" s="2916"/>
      <c r="M20" s="2916"/>
      <c r="N20" s="2916"/>
      <c r="O20" s="2914"/>
      <c r="P20" s="2927">
        <f>SUM(D20:O20)</f>
        <v>0</v>
      </c>
      <c r="W20" s="2921"/>
      <c r="X20" s="2922"/>
      <c r="Y20" s="2922"/>
      <c r="Z20" s="2922"/>
      <c r="AA20" s="2922"/>
      <c r="AB20" s="2922"/>
      <c r="AC20" s="2922"/>
      <c r="AD20" s="2922"/>
      <c r="AE20" s="2922"/>
      <c r="AF20" s="2922"/>
      <c r="AG20" s="2922"/>
      <c r="AH20" s="2923"/>
      <c r="AI20" s="2927">
        <f>SUM(W20:AH20)</f>
        <v>0</v>
      </c>
    </row>
    <row r="21" spans="1:35" ht="32.25" customHeight="1" thickTop="1" thickBot="1">
      <c r="A21" s="3537" t="s">
        <v>831</v>
      </c>
      <c r="B21" s="3538"/>
      <c r="C21" s="3539"/>
      <c r="D21" s="2913" t="str">
        <f t="shared" ref="D21:O21" si="2">IF(+D20&lt;=0,"",D10/D20)</f>
        <v/>
      </c>
      <c r="E21" s="2917" t="str">
        <f t="shared" si="2"/>
        <v/>
      </c>
      <c r="F21" s="2917" t="str">
        <f t="shared" si="2"/>
        <v/>
      </c>
      <c r="G21" s="2917" t="str">
        <f t="shared" si="2"/>
        <v/>
      </c>
      <c r="H21" s="2917" t="str">
        <f t="shared" si="2"/>
        <v/>
      </c>
      <c r="I21" s="2917" t="str">
        <f t="shared" si="2"/>
        <v/>
      </c>
      <c r="J21" s="2917" t="str">
        <f t="shared" si="2"/>
        <v/>
      </c>
      <c r="K21" s="2917" t="str">
        <f t="shared" si="2"/>
        <v/>
      </c>
      <c r="L21" s="2917" t="str">
        <f t="shared" si="2"/>
        <v/>
      </c>
      <c r="M21" s="2917" t="str">
        <f t="shared" si="2"/>
        <v/>
      </c>
      <c r="N21" s="2917" t="str">
        <f t="shared" si="2"/>
        <v/>
      </c>
      <c r="O21" s="2915" t="str">
        <f t="shared" si="2"/>
        <v/>
      </c>
      <c r="P21" s="2904"/>
      <c r="W21" s="2924" t="str">
        <f t="shared" ref="W21:AH21" si="3">IF(+W20&lt;=0,"",W10/W20)</f>
        <v/>
      </c>
      <c r="X21" s="2925" t="str">
        <f t="shared" si="3"/>
        <v/>
      </c>
      <c r="Y21" s="2925" t="str">
        <f t="shared" si="3"/>
        <v/>
      </c>
      <c r="Z21" s="2925" t="str">
        <f t="shared" si="3"/>
        <v/>
      </c>
      <c r="AA21" s="2925" t="str">
        <f t="shared" si="3"/>
        <v/>
      </c>
      <c r="AB21" s="2925" t="str">
        <f t="shared" si="3"/>
        <v/>
      </c>
      <c r="AC21" s="2925" t="str">
        <f t="shared" si="3"/>
        <v/>
      </c>
      <c r="AD21" s="2925" t="str">
        <f t="shared" si="3"/>
        <v/>
      </c>
      <c r="AE21" s="2925" t="str">
        <f t="shared" si="3"/>
        <v/>
      </c>
      <c r="AF21" s="2925" t="str">
        <f t="shared" si="3"/>
        <v/>
      </c>
      <c r="AG21" s="2925" t="str">
        <f t="shared" si="3"/>
        <v/>
      </c>
      <c r="AH21" s="2926" t="str">
        <f t="shared" si="3"/>
        <v/>
      </c>
      <c r="AI21" s="348"/>
    </row>
    <row r="22" spans="1:35" s="2020" customFormat="1" ht="15" customHeight="1" thickTop="1">
      <c r="A22" s="2074"/>
      <c r="B22" s="2021"/>
      <c r="C22" s="2021"/>
      <c r="D22" s="2075"/>
      <c r="E22" s="2075"/>
      <c r="F22" s="2075"/>
      <c r="G22" s="2075"/>
      <c r="H22" s="2075"/>
      <c r="I22" s="2075"/>
      <c r="J22" s="2075"/>
      <c r="K22" s="2075"/>
      <c r="L22" s="2075"/>
      <c r="M22" s="2075"/>
      <c r="N22" s="2075"/>
      <c r="O22" s="2075"/>
      <c r="P22" s="2071"/>
      <c r="T22" s="2058"/>
      <c r="W22" s="2076"/>
      <c r="X22" s="2076"/>
      <c r="Y22" s="2076"/>
      <c r="Z22" s="2076"/>
      <c r="AA22" s="2076"/>
      <c r="AB22" s="2076"/>
      <c r="AC22" s="2076"/>
      <c r="AD22" s="2076"/>
      <c r="AE22" s="2076"/>
      <c r="AF22" s="2076"/>
      <c r="AG22" s="2076"/>
      <c r="AH22" s="2076"/>
      <c r="AI22" s="348"/>
    </row>
    <row r="23" spans="1:35" ht="22.5" customHeight="1">
      <c r="A23" s="3540" t="s">
        <v>658</v>
      </c>
      <c r="B23" s="3541"/>
      <c r="C23" s="3541"/>
      <c r="D23" s="2900"/>
      <c r="E23" s="2901">
        <f>+E20+D20</f>
        <v>0</v>
      </c>
      <c r="F23" s="2901">
        <f>+F20+E23</f>
        <v>0</v>
      </c>
      <c r="G23" s="2901">
        <f t="shared" ref="G23:O23" si="4">+G20+F23</f>
        <v>0</v>
      </c>
      <c r="H23" s="2901">
        <f t="shared" si="4"/>
        <v>0</v>
      </c>
      <c r="I23" s="2901">
        <f t="shared" si="4"/>
        <v>0</v>
      </c>
      <c r="J23" s="2901">
        <f t="shared" si="4"/>
        <v>0</v>
      </c>
      <c r="K23" s="2901">
        <f t="shared" si="4"/>
        <v>0</v>
      </c>
      <c r="L23" s="2901">
        <f t="shared" si="4"/>
        <v>0</v>
      </c>
      <c r="M23" s="2901">
        <f t="shared" si="4"/>
        <v>0</v>
      </c>
      <c r="N23" s="2901">
        <f t="shared" si="4"/>
        <v>0</v>
      </c>
      <c r="O23" s="2956">
        <f t="shared" si="4"/>
        <v>0</v>
      </c>
      <c r="P23" s="2073"/>
      <c r="W23" s="2951"/>
      <c r="X23" s="2952">
        <f>+X20+W20</f>
        <v>0</v>
      </c>
      <c r="Y23" s="2952">
        <f>+Y20+X23</f>
        <v>0</v>
      </c>
      <c r="Z23" s="2952">
        <f t="shared" ref="Z23:AH23" si="5">+Z20+Y23</f>
        <v>0</v>
      </c>
      <c r="AA23" s="2952">
        <f t="shared" si="5"/>
        <v>0</v>
      </c>
      <c r="AB23" s="2952">
        <f t="shared" si="5"/>
        <v>0</v>
      </c>
      <c r="AC23" s="2952">
        <f t="shared" si="5"/>
        <v>0</v>
      </c>
      <c r="AD23" s="2952">
        <f t="shared" si="5"/>
        <v>0</v>
      </c>
      <c r="AE23" s="2952">
        <f t="shared" si="5"/>
        <v>0</v>
      </c>
      <c r="AF23" s="2952">
        <f t="shared" si="5"/>
        <v>0</v>
      </c>
      <c r="AG23" s="2952">
        <f t="shared" si="5"/>
        <v>0</v>
      </c>
      <c r="AH23" s="2958">
        <f t="shared" si="5"/>
        <v>0</v>
      </c>
      <c r="AI23" s="348"/>
    </row>
    <row r="24" spans="1:35" ht="28.5" customHeight="1">
      <c r="A24" s="3542" t="s">
        <v>780</v>
      </c>
      <c r="B24" s="3543"/>
      <c r="C24" s="3543"/>
      <c r="D24" s="2902"/>
      <c r="E24" s="2903" t="str">
        <f>+IF(E23&lt;=0,"",(D10+$E$10)/E23)</f>
        <v/>
      </c>
      <c r="F24" s="2903" t="str">
        <f>+IF(F23&lt;=0,"",(D10+$E$10+$F$10)/F23)</f>
        <v/>
      </c>
      <c r="G24" s="2903" t="str">
        <f>+IF(G23&lt;=0,"",(D10+$E$10+$F$10+$G$10)/G23)</f>
        <v/>
      </c>
      <c r="H24" s="2903" t="str">
        <f>+IF(H23&lt;=0,"",(D10+$E$10+$F$10+$G$10+$H$10)/H23)</f>
        <v/>
      </c>
      <c r="I24" s="2903" t="str">
        <f>+IF(I23&lt;=0,"",(D10+$E$10+$F$10+$G$10+$H$10+$I$10)/I23)</f>
        <v/>
      </c>
      <c r="J24" s="2903" t="str">
        <f>+IF(J23&lt;=0,"",(D10+$E$10+$F$10+$G$10+$H$10+$I$10+$J$10)/J23)</f>
        <v/>
      </c>
      <c r="K24" s="2903" t="str">
        <f>+IF(K23&lt;=0,"",(D10+$E$10+$F$10+$G$10+$H$10+$I$10+$J$10+$K$10)/K23)</f>
        <v/>
      </c>
      <c r="L24" s="2903" t="str">
        <f>+IF(L23&lt;=0,"",(D10+$E$10+$F$10+$G$10+$H$10+$I$10+$J$10+$K$10+$L$10)/L23)</f>
        <v/>
      </c>
      <c r="M24" s="2903" t="str">
        <f>+IF(M23&lt;=0,"",(D10+$E$10+$F$10+$G$10+$H$10+$I$10+$J$10+$K$10+$L$10+$M$10)/M23)</f>
        <v/>
      </c>
      <c r="N24" s="2903" t="str">
        <f>+IF(N23&lt;=0,"",(D10+$E$10+$F$10+$G$10+$H$10+$I$10+$J$10+$K$10+$L$10+$M$10+$N$10)/N23)</f>
        <v/>
      </c>
      <c r="O24" s="2957" t="str">
        <f>+IF(O23&lt;=0,"",(D10+$E$10+$F$10+$G$10+$H$10+$I$10+$J$10+$K$10+$L$10+$M$10+$N$10+$O$10)/O23)</f>
        <v/>
      </c>
      <c r="P24" s="2960"/>
      <c r="W24" s="2953"/>
      <c r="X24" s="2954" t="str">
        <f>+IF(X23&lt;=0,"",(W10+$X$10)/X23)</f>
        <v/>
      </c>
      <c r="Y24" s="2954" t="str">
        <f>+IF(Y23&lt;=0,"",(W10+$X$10+$Y$10)/Y23)</f>
        <v/>
      </c>
      <c r="Z24" s="2954" t="str">
        <f>+IF(Z23&lt;=0,"",(W10+$X$10+$Y$10+$Z$10)/Z23)</f>
        <v/>
      </c>
      <c r="AA24" s="2954" t="str">
        <f>+IF(AA23&lt;=0,"",(W10+$X$10+$Y$10+$Z$10+$AA$10)/AA23)</f>
        <v/>
      </c>
      <c r="AB24" s="2954" t="str">
        <f>+IF(AB23&lt;=0,"",(W10+$X$10+$Y$10+$Z$10+$AA$10+$AB$10)/AB23)</f>
        <v/>
      </c>
      <c r="AC24" s="2954" t="str">
        <f>+IF(AC23&lt;=0,"",(W10+$X$10+$Y$10+$Z$10+$AA$10+$AB$10+$AC$10)/AC23)</f>
        <v/>
      </c>
      <c r="AD24" s="2954" t="str">
        <f>+IF(AD23&lt;=0,"",(W10+$X$10+$Y$10+$Z$10+$AA$10+$AB$10+$AC$10+$AD$10)/AD23)</f>
        <v/>
      </c>
      <c r="AE24" s="2954" t="str">
        <f>+IF(AE23&lt;=0,"",(W10+$X$10+$Y$10+$Z$10+$AA$10+$AB$10+$AC$10+$AD$10+$AE$10)/AE23)</f>
        <v/>
      </c>
      <c r="AF24" s="2954" t="str">
        <f>+IF(AF23&lt;=0,"",(W10+$X$10+$Y$10+$Z$10+$AA$10+$AB$10+$AC$10+$AD$10+$AE$10+$AF$10)/AF23)</f>
        <v/>
      </c>
      <c r="AG24" s="2954" t="str">
        <f>+IF(AG23&lt;=0,"",(W10+$X$10+$Y$10+$Z$10+$AA$10+$AB$10+$AC$10+$AD$10+$AE$10+$AF$10+$AG$10)/AG23)</f>
        <v/>
      </c>
      <c r="AH24" s="2959" t="str">
        <f>+IF(AH23&lt;=0,"",(W10+$X$10+$Y$10+$Z$10+$AA$10+$AB$10+$AC$10+$AD$10+$AE$10+$AF$10+$AG$10+$AH$10)/AH23)</f>
        <v/>
      </c>
      <c r="AI24" s="348"/>
    </row>
    <row r="25" spans="1:35" s="2069" customFormat="1" ht="10.5" customHeight="1">
      <c r="A25" s="2653"/>
      <c r="B25" s="2654"/>
      <c r="C25" s="2654"/>
      <c r="D25" s="2655"/>
      <c r="E25" s="2656"/>
      <c r="F25" s="2656"/>
      <c r="G25" s="2656"/>
      <c r="H25" s="2656"/>
      <c r="I25" s="2656"/>
      <c r="J25" s="2656"/>
      <c r="K25" s="2656"/>
      <c r="L25" s="2656"/>
      <c r="M25" s="2656"/>
      <c r="N25" s="2656"/>
      <c r="O25" s="2656"/>
      <c r="P25" s="2960"/>
      <c r="T25" s="2051"/>
      <c r="W25" s="2657"/>
      <c r="X25" s="2658"/>
      <c r="Y25" s="2658"/>
      <c r="Z25" s="2658"/>
      <c r="AA25" s="2658"/>
      <c r="AB25" s="2658"/>
      <c r="AC25" s="2658"/>
      <c r="AD25" s="2658"/>
      <c r="AE25" s="2658"/>
      <c r="AF25" s="2658"/>
      <c r="AG25" s="2658"/>
      <c r="AH25" s="2658"/>
      <c r="AI25" s="787"/>
    </row>
    <row r="26" spans="1:35" ht="17.25" customHeight="1">
      <c r="A26" s="229"/>
      <c r="B26" s="229"/>
      <c r="C26" s="229"/>
      <c r="D26" s="866"/>
      <c r="E26" s="866"/>
      <c r="F26" s="866"/>
      <c r="G26" s="866"/>
      <c r="H26" s="866"/>
      <c r="I26" s="866"/>
      <c r="J26" s="866"/>
      <c r="K26" s="866"/>
      <c r="L26" s="866"/>
      <c r="M26" s="866"/>
      <c r="N26" s="866"/>
      <c r="O26" s="866"/>
      <c r="P26" s="2072"/>
      <c r="W26" s="866"/>
      <c r="X26" s="866"/>
      <c r="Y26" s="867"/>
      <c r="Z26" s="867"/>
      <c r="AA26" s="867"/>
      <c r="AB26" s="867"/>
      <c r="AC26" s="867"/>
      <c r="AD26" s="867"/>
      <c r="AE26" s="867"/>
      <c r="AF26" s="867"/>
      <c r="AG26" s="867"/>
      <c r="AH26" s="867"/>
      <c r="AI26" s="348"/>
    </row>
    <row r="27" spans="1:35" s="2020" customFormat="1" ht="17.25" customHeight="1" thickBot="1">
      <c r="A27" s="229"/>
      <c r="B27" s="229"/>
      <c r="C27" s="229"/>
      <c r="D27" s="866"/>
      <c r="E27" s="2072"/>
      <c r="F27" s="866"/>
      <c r="G27" s="866"/>
      <c r="H27" s="866"/>
      <c r="I27" s="866"/>
      <c r="J27" s="866"/>
      <c r="K27" s="866"/>
      <c r="L27" s="866"/>
      <c r="M27" s="866"/>
      <c r="T27" s="2058"/>
      <c r="W27" s="866"/>
      <c r="X27" s="866"/>
      <c r="Y27" s="867"/>
      <c r="Z27" s="867"/>
      <c r="AA27" s="867"/>
      <c r="AB27" s="867"/>
      <c r="AC27" s="867"/>
      <c r="AD27" s="867"/>
      <c r="AE27" s="867"/>
      <c r="AF27" s="867"/>
      <c r="AG27" s="867"/>
      <c r="AH27" s="867"/>
      <c r="AI27" s="348"/>
    </row>
    <row r="28" spans="1:35" s="2020" customFormat="1" ht="25.5" customHeight="1" thickTop="1" thickBot="1">
      <c r="A28" s="229"/>
      <c r="B28" s="229"/>
      <c r="C28" s="229"/>
      <c r="D28" s="2081" t="s">
        <v>510</v>
      </c>
      <c r="E28" s="2082" t="str">
        <f>IF(P20&lt;=0,"",+P10/P20)</f>
        <v/>
      </c>
      <c r="F28" s="866"/>
      <c r="G28" s="866"/>
      <c r="H28" s="866"/>
      <c r="I28" s="866"/>
      <c r="J28" s="866"/>
      <c r="K28" s="866"/>
      <c r="L28" s="866"/>
      <c r="M28" s="866"/>
      <c r="T28" s="2058"/>
      <c r="W28" s="2081" t="s">
        <v>510</v>
      </c>
      <c r="X28" s="2918" t="str">
        <f>IF(AI20&lt;=0,"",+AI10/AI20)</f>
        <v/>
      </c>
      <c r="Y28" s="867"/>
      <c r="Z28" s="867"/>
      <c r="AA28" s="867"/>
      <c r="AB28" s="867"/>
      <c r="AC28" s="867"/>
      <c r="AD28" s="867"/>
      <c r="AE28" s="867"/>
      <c r="AF28" s="867"/>
    </row>
    <row r="29" spans="1:35" s="2020" customFormat="1" ht="17.25" customHeight="1" thickTop="1" thickBot="1">
      <c r="A29" s="229"/>
      <c r="B29" s="229"/>
      <c r="C29" s="229"/>
      <c r="D29" s="866"/>
      <c r="E29" s="2072"/>
      <c r="F29" s="866"/>
      <c r="G29" s="866"/>
      <c r="H29" s="866"/>
      <c r="I29" s="866"/>
      <c r="J29" s="866"/>
      <c r="K29" s="866"/>
      <c r="L29" s="866"/>
      <c r="M29" s="866"/>
      <c r="T29" s="2058"/>
      <c r="W29" s="866"/>
      <c r="X29" s="866"/>
      <c r="Y29" s="867"/>
      <c r="Z29" s="867"/>
      <c r="AA29" s="867"/>
      <c r="AB29" s="867"/>
      <c r="AC29" s="867"/>
      <c r="AD29" s="867"/>
      <c r="AE29" s="867"/>
      <c r="AF29" s="867"/>
      <c r="AG29" s="867"/>
      <c r="AH29" s="867"/>
      <c r="AI29" s="348"/>
    </row>
    <row r="30" spans="1:35" s="2020" customFormat="1" ht="21.75" customHeight="1" thickTop="1">
      <c r="A30" s="229"/>
      <c r="B30" s="229"/>
      <c r="C30" s="229"/>
      <c r="D30" s="3522" t="s">
        <v>562</v>
      </c>
      <c r="E30" s="3523"/>
      <c r="F30" s="2096">
        <f>'4.Costes Mk y Métricas (1º,2º)'!M53</f>
        <v>0</v>
      </c>
      <c r="G30" s="866"/>
      <c r="H30" s="2928" t="s">
        <v>779</v>
      </c>
      <c r="I30" s="348"/>
      <c r="J30" s="348"/>
      <c r="K30" s="348"/>
      <c r="L30" s="348"/>
      <c r="P30" s="2072"/>
      <c r="T30" s="2058"/>
      <c r="W30" s="3522" t="s">
        <v>562</v>
      </c>
      <c r="X30" s="3523"/>
      <c r="Y30" s="2096">
        <f>'4.Costes Mk y Métricas (1º,2º)'!AF53</f>
        <v>0</v>
      </c>
      <c r="Z30" s="867"/>
      <c r="AA30" s="2930" t="s">
        <v>779</v>
      </c>
      <c r="AB30" s="867"/>
      <c r="AC30" s="867"/>
      <c r="AD30" s="867"/>
      <c r="AE30" s="867"/>
      <c r="AI30" s="348"/>
    </row>
    <row r="31" spans="1:35" s="2020" customFormat="1" ht="21.75" customHeight="1" thickBot="1">
      <c r="A31" s="229"/>
      <c r="B31" s="229"/>
      <c r="C31" s="229"/>
      <c r="D31" s="3524" t="s">
        <v>563</v>
      </c>
      <c r="E31" s="3525"/>
      <c r="F31" s="2097">
        <f>'4.Costes Mk y Métricas (1º,2º)'!M57</f>
        <v>0</v>
      </c>
      <c r="G31" s="866"/>
      <c r="H31" s="1304"/>
      <c r="I31" s="866"/>
      <c r="J31" s="866"/>
      <c r="K31" s="866"/>
      <c r="L31" s="866"/>
      <c r="P31" s="2072"/>
      <c r="T31" s="2058"/>
      <c r="W31" s="3524" t="s">
        <v>563</v>
      </c>
      <c r="X31" s="3525"/>
      <c r="Y31" s="2097">
        <f>'4.Costes Mk y Métricas (1º,2º)'!AF57</f>
        <v>0</v>
      </c>
      <c r="Z31" s="867"/>
      <c r="AA31" s="867"/>
      <c r="AB31" s="867"/>
      <c r="AC31" s="867"/>
      <c r="AD31" s="867"/>
      <c r="AE31" s="867"/>
      <c r="AI31" s="348"/>
    </row>
    <row r="32" spans="1:35" s="2020" customFormat="1" ht="22.5" customHeight="1" thickTop="1">
      <c r="A32" s="229"/>
      <c r="B32" s="229"/>
      <c r="C32" s="229"/>
      <c r="D32" s="866"/>
      <c r="E32" s="866"/>
      <c r="F32" s="866"/>
      <c r="G32" s="866"/>
      <c r="H32" s="866"/>
      <c r="I32" s="866"/>
      <c r="J32" s="866"/>
      <c r="K32" s="866"/>
      <c r="L32" s="866"/>
      <c r="M32" s="866"/>
      <c r="N32" s="866"/>
      <c r="O32" s="866"/>
      <c r="P32" s="2072"/>
      <c r="T32" s="2058"/>
      <c r="W32" s="866"/>
      <c r="X32" s="866"/>
      <c r="Y32" s="867"/>
      <c r="Z32" s="867"/>
      <c r="AA32" s="867"/>
      <c r="AB32" s="867"/>
      <c r="AC32" s="867"/>
      <c r="AD32" s="867"/>
      <c r="AE32" s="867"/>
      <c r="AF32" s="867"/>
      <c r="AG32" s="867"/>
      <c r="AH32" s="867"/>
      <c r="AI32" s="348"/>
    </row>
    <row r="33" spans="1:35" s="2020" customFormat="1" ht="22.5" customHeight="1">
      <c r="A33" s="229"/>
      <c r="B33" s="229"/>
      <c r="C33" s="229"/>
      <c r="D33" s="866"/>
      <c r="E33" s="866"/>
      <c r="F33" s="866"/>
      <c r="G33" s="866"/>
      <c r="H33" s="866"/>
      <c r="I33" s="866"/>
      <c r="J33" s="866"/>
      <c r="K33" s="866"/>
      <c r="L33" s="866"/>
      <c r="M33" s="866"/>
      <c r="N33" s="866"/>
      <c r="O33" s="866"/>
      <c r="P33" s="2072"/>
      <c r="T33" s="2058"/>
      <c r="W33" s="866"/>
      <c r="X33" s="866"/>
      <c r="Y33" s="867"/>
      <c r="Z33" s="867"/>
      <c r="AA33" s="867"/>
      <c r="AB33" s="867"/>
      <c r="AC33" s="867"/>
      <c r="AD33" s="867"/>
      <c r="AE33" s="867"/>
      <c r="AF33" s="867"/>
      <c r="AG33" s="867"/>
      <c r="AH33" s="867"/>
      <c r="AI33" s="348"/>
    </row>
    <row r="34" spans="1:35" s="2020" customFormat="1" ht="22.5" customHeight="1">
      <c r="A34" s="229"/>
      <c r="B34" s="229"/>
      <c r="C34" s="229"/>
      <c r="D34" s="866"/>
      <c r="E34" s="866"/>
      <c r="F34" s="866"/>
      <c r="G34" s="866"/>
      <c r="H34" s="866"/>
      <c r="I34" s="866"/>
      <c r="J34" s="866"/>
      <c r="K34" s="866"/>
      <c r="L34" s="866"/>
      <c r="M34" s="866"/>
      <c r="N34" s="866"/>
      <c r="O34" s="866"/>
      <c r="P34" s="2072"/>
      <c r="T34" s="2058"/>
      <c r="W34" s="866"/>
      <c r="X34" s="866"/>
      <c r="Y34" s="867"/>
      <c r="Z34" s="867"/>
      <c r="AA34" s="867"/>
      <c r="AB34" s="867"/>
      <c r="AC34" s="867"/>
      <c r="AD34" s="867"/>
      <c r="AE34" s="867"/>
      <c r="AF34" s="867"/>
      <c r="AG34" s="867"/>
      <c r="AH34" s="867"/>
      <c r="AI34" s="348"/>
    </row>
    <row r="35" spans="1:35" s="2020" customFormat="1" ht="32.25" customHeight="1">
      <c r="A35" s="229"/>
      <c r="B35" s="229"/>
      <c r="C35" s="3350" t="s">
        <v>772</v>
      </c>
      <c r="D35" s="3529"/>
      <c r="E35" s="3529"/>
      <c r="F35" s="3529"/>
      <c r="G35" s="3529"/>
      <c r="H35" s="3529"/>
      <c r="I35" s="3529"/>
      <c r="J35" s="3529"/>
      <c r="K35" s="3529"/>
      <c r="L35" s="3529"/>
      <c r="M35" s="3529"/>
      <c r="N35" s="3529"/>
      <c r="O35" s="3529"/>
      <c r="P35" s="3529"/>
      <c r="T35" s="2058"/>
      <c r="W35" s="3350" t="s">
        <v>660</v>
      </c>
      <c r="X35" s="3529"/>
      <c r="Y35" s="3529"/>
      <c r="Z35" s="3529"/>
      <c r="AA35" s="3529"/>
      <c r="AB35" s="3529"/>
      <c r="AC35" s="3529"/>
      <c r="AD35" s="3529"/>
      <c r="AE35" s="3529"/>
      <c r="AF35" s="3529"/>
      <c r="AG35" s="3529"/>
      <c r="AH35" s="3529"/>
      <c r="AI35" s="3529"/>
    </row>
    <row r="36" spans="1:35" s="1415" customFormat="1" ht="22.5" customHeight="1">
      <c r="A36" s="2069"/>
      <c r="B36" s="2069"/>
      <c r="C36" s="2069"/>
      <c r="D36" s="2089"/>
      <c r="E36" s="2090"/>
      <c r="F36" s="2090"/>
      <c r="G36" s="2090"/>
      <c r="H36" s="2090"/>
      <c r="I36" s="1757" t="str">
        <f>I16</f>
        <v>1º Ejercicio 0</v>
      </c>
      <c r="J36" s="2091"/>
      <c r="K36" s="2091"/>
      <c r="L36" s="2091"/>
      <c r="M36" s="2091"/>
      <c r="N36" s="2091"/>
      <c r="O36" s="2091"/>
      <c r="P36" s="2073"/>
      <c r="T36" s="2058"/>
      <c r="W36" s="2089"/>
      <c r="X36" s="2090"/>
      <c r="Y36" s="2090"/>
      <c r="Z36" s="2090"/>
      <c r="AA36" s="2090"/>
      <c r="AB36" s="1757" t="str">
        <f>AB16</f>
        <v>2º Ejercicio 1</v>
      </c>
      <c r="AC36" s="2091"/>
      <c r="AD36" s="2091"/>
      <c r="AE36" s="2091"/>
      <c r="AF36" s="2091"/>
      <c r="AG36" s="2091"/>
      <c r="AH36" s="2091"/>
      <c r="AI36" s="787"/>
    </row>
    <row r="37" spans="1:35" s="2020" customFormat="1" ht="22.5" customHeight="1">
      <c r="A37" s="229"/>
      <c r="B37" s="229"/>
      <c r="C37" s="229"/>
      <c r="D37" s="866"/>
      <c r="E37" s="866"/>
      <c r="F37" s="866"/>
      <c r="G37" s="866"/>
      <c r="H37" s="866"/>
      <c r="I37" s="866"/>
      <c r="J37" s="866"/>
      <c r="K37" s="866"/>
      <c r="L37" s="866"/>
      <c r="M37" s="866"/>
      <c r="N37" s="866"/>
      <c r="O37" s="866"/>
      <c r="P37" s="2072"/>
      <c r="T37" s="2058"/>
      <c r="W37" s="866"/>
      <c r="X37" s="866"/>
      <c r="Y37" s="867"/>
      <c r="Z37" s="867"/>
      <c r="AA37" s="867"/>
      <c r="AB37" s="867"/>
      <c r="AC37" s="867"/>
      <c r="AD37" s="867"/>
      <c r="AE37" s="867"/>
      <c r="AF37" s="867"/>
      <c r="AG37" s="867"/>
      <c r="AH37" s="867"/>
      <c r="AI37" s="348"/>
    </row>
    <row r="38" spans="1:35" s="2020" customFormat="1" ht="22.5" customHeight="1">
      <c r="A38" s="229"/>
      <c r="B38" s="229"/>
      <c r="C38" s="229"/>
      <c r="D38" s="2930" t="s">
        <v>777</v>
      </c>
      <c r="E38" s="866"/>
      <c r="F38" s="866"/>
      <c r="G38" s="866"/>
      <c r="H38" s="866"/>
      <c r="I38" s="2098" t="s">
        <v>507</v>
      </c>
      <c r="J38" s="2099"/>
      <c r="K38" s="866"/>
      <c r="L38" s="866"/>
      <c r="M38" s="866"/>
      <c r="N38" s="866"/>
      <c r="O38" s="866"/>
      <c r="P38" s="2072"/>
      <c r="T38" s="2058"/>
      <c r="W38" s="2930" t="s">
        <v>777</v>
      </c>
      <c r="X38" s="866"/>
      <c r="Y38" s="866"/>
      <c r="Z38" s="866"/>
      <c r="AA38" s="866"/>
      <c r="AB38" s="2098" t="s">
        <v>507</v>
      </c>
      <c r="AC38" s="2100">
        <f>J38</f>
        <v>0</v>
      </c>
      <c r="AD38" s="866"/>
      <c r="AE38" s="866"/>
      <c r="AF38" s="866"/>
      <c r="AG38" s="866"/>
      <c r="AH38" s="867"/>
      <c r="AI38" s="348"/>
    </row>
    <row r="39" spans="1:35" s="2020" customFormat="1" ht="6.75" customHeight="1">
      <c r="A39" s="229"/>
      <c r="B39" s="229"/>
      <c r="C39" s="229"/>
      <c r="D39" s="341"/>
      <c r="E39" s="866"/>
      <c r="F39" s="866"/>
      <c r="G39" s="866"/>
      <c r="H39" s="866"/>
      <c r="I39" s="2083"/>
      <c r="J39" s="2084"/>
      <c r="K39" s="866"/>
      <c r="L39" s="866"/>
      <c r="M39" s="866"/>
      <c r="N39" s="866"/>
      <c r="O39" s="866"/>
      <c r="P39" s="2072"/>
      <c r="T39" s="2058"/>
      <c r="W39" s="341"/>
      <c r="X39" s="866"/>
      <c r="Y39" s="866"/>
      <c r="Z39" s="866"/>
      <c r="AA39" s="866"/>
      <c r="AB39" s="2083"/>
      <c r="AC39" s="2084"/>
      <c r="AD39" s="866"/>
      <c r="AE39" s="866"/>
      <c r="AF39" s="866"/>
      <c r="AG39" s="866"/>
      <c r="AH39" s="867"/>
      <c r="AI39" s="348"/>
    </row>
    <row r="40" spans="1:35" s="2020" customFormat="1" ht="22.5" customHeight="1">
      <c r="A40" s="229"/>
      <c r="B40" s="229"/>
      <c r="C40" s="229"/>
      <c r="D40" s="2930" t="s">
        <v>778</v>
      </c>
      <c r="E40" s="866"/>
      <c r="F40" s="866"/>
      <c r="G40" s="866"/>
      <c r="H40" s="866"/>
      <c r="I40" s="2098" t="s">
        <v>508</v>
      </c>
      <c r="J40" s="2099"/>
      <c r="K40" s="866"/>
      <c r="L40" s="866"/>
      <c r="M40" s="866"/>
      <c r="N40" s="866"/>
      <c r="O40" s="866"/>
      <c r="P40" s="2072"/>
      <c r="T40" s="2058"/>
      <c r="W40" s="2930" t="s">
        <v>778</v>
      </c>
      <c r="X40" s="866"/>
      <c r="Y40" s="866"/>
      <c r="Z40" s="866"/>
      <c r="AA40" s="866"/>
      <c r="AB40" s="2098" t="s">
        <v>508</v>
      </c>
      <c r="AC40" s="2100">
        <f>J40</f>
        <v>0</v>
      </c>
      <c r="AD40" s="866"/>
      <c r="AE40" s="866"/>
      <c r="AF40" s="866"/>
      <c r="AG40" s="866"/>
      <c r="AH40" s="867"/>
      <c r="AI40" s="348"/>
    </row>
    <row r="41" spans="1:35" s="2020" customFormat="1" ht="22.5" customHeight="1" thickBot="1">
      <c r="A41" s="229"/>
      <c r="B41" s="229"/>
      <c r="C41" s="229"/>
      <c r="D41" s="866"/>
      <c r="E41" s="866"/>
      <c r="F41" s="866"/>
      <c r="G41" s="866"/>
      <c r="H41" s="866"/>
      <c r="I41" s="866"/>
      <c r="J41" s="866"/>
      <c r="K41" s="866"/>
      <c r="L41" s="866"/>
      <c r="M41" s="866"/>
      <c r="N41" s="866"/>
      <c r="O41" s="866"/>
      <c r="P41" s="2072"/>
      <c r="T41" s="2058"/>
      <c r="W41" s="866"/>
      <c r="X41" s="866"/>
      <c r="Y41" s="866"/>
      <c r="Z41" s="866"/>
      <c r="AA41" s="866"/>
      <c r="AB41" s="866"/>
      <c r="AC41" s="866"/>
      <c r="AD41" s="866"/>
      <c r="AE41" s="866"/>
      <c r="AF41" s="866"/>
      <c r="AG41" s="866"/>
      <c r="AH41" s="867"/>
      <c r="AI41" s="348"/>
    </row>
    <row r="42" spans="1:35" ht="25.5" customHeight="1" thickTop="1" thickBot="1">
      <c r="A42" s="229"/>
      <c r="B42" s="229"/>
      <c r="C42" s="229"/>
      <c r="D42" s="2085" t="s">
        <v>511</v>
      </c>
      <c r="E42" s="2919">
        <f>+'4.Costes Mk y Métricas (1º,2º)'!F52*'4.Costes Mk y Métricas (1º,2º)'!M57</f>
        <v>0</v>
      </c>
      <c r="F42" s="866"/>
      <c r="G42" s="866"/>
      <c r="H42" s="2928" t="s">
        <v>775</v>
      </c>
      <c r="I42" s="866"/>
      <c r="J42" s="866"/>
      <c r="K42" s="866"/>
      <c r="L42" s="866"/>
      <c r="M42" s="866"/>
      <c r="W42" s="2085" t="s">
        <v>511</v>
      </c>
      <c r="X42" s="2919">
        <f>+'4.Costes Mk y Métricas (1º,2º)'!Y52*'4.Costes Mk y Métricas (1º,2º)'!AF57</f>
        <v>0</v>
      </c>
      <c r="Y42" s="866"/>
      <c r="Z42" s="866"/>
      <c r="AA42" s="2930" t="s">
        <v>775</v>
      </c>
      <c r="AB42" s="866"/>
      <c r="AC42" s="866"/>
      <c r="AD42" s="866"/>
      <c r="AE42" s="866"/>
      <c r="AF42" s="866"/>
      <c r="AG42" s="2020"/>
      <c r="AH42" s="229"/>
      <c r="AI42" s="229"/>
    </row>
    <row r="43" spans="1:35" ht="17.25" customHeight="1" thickTop="1" thickBot="1">
      <c r="A43" s="229"/>
      <c r="B43" s="229"/>
      <c r="C43" s="229"/>
      <c r="D43" s="866"/>
      <c r="E43" s="866"/>
      <c r="F43" s="866"/>
      <c r="G43" s="866"/>
      <c r="H43" s="1304"/>
      <c r="I43" s="866"/>
      <c r="J43" s="866"/>
      <c r="K43" s="866"/>
      <c r="L43" s="866"/>
      <c r="M43" s="866"/>
      <c r="W43" s="866"/>
      <c r="X43" s="866"/>
      <c r="Y43" s="866"/>
      <c r="Z43" s="866"/>
      <c r="AA43" s="1304"/>
      <c r="AB43" s="866"/>
      <c r="AC43" s="866"/>
      <c r="AD43" s="866"/>
      <c r="AE43" s="866"/>
      <c r="AF43" s="866"/>
      <c r="AG43" s="2020"/>
      <c r="AH43" s="229"/>
      <c r="AI43" s="229"/>
    </row>
    <row r="44" spans="1:35" ht="24.75" customHeight="1" thickTop="1" thickBot="1">
      <c r="A44" s="229"/>
      <c r="B44" s="229"/>
      <c r="C44" s="229"/>
      <c r="D44" s="2931" t="s">
        <v>511</v>
      </c>
      <c r="E44" s="2934" t="str">
        <f>IF(E28="","",E42/E28)</f>
        <v/>
      </c>
      <c r="F44" s="2933" t="s">
        <v>520</v>
      </c>
      <c r="G44" s="867"/>
      <c r="H44" s="2929" t="s">
        <v>776</v>
      </c>
      <c r="I44" s="2920"/>
      <c r="J44" s="2920"/>
      <c r="K44" s="2920"/>
      <c r="L44" s="2920"/>
      <c r="M44" s="2920"/>
      <c r="N44" s="2920"/>
      <c r="W44" s="2931" t="s">
        <v>511</v>
      </c>
      <c r="X44" s="2932" t="str">
        <f>IF(X28="","",X42/X28)</f>
        <v/>
      </c>
      <c r="Y44" s="2933" t="s">
        <v>520</v>
      </c>
      <c r="Z44" s="867"/>
      <c r="AA44" s="2929" t="s">
        <v>776</v>
      </c>
      <c r="AB44" s="2920"/>
      <c r="AC44" s="2920"/>
      <c r="AD44" s="2920"/>
      <c r="AE44" s="2920"/>
      <c r="AF44" s="2920"/>
      <c r="AG44" s="2920"/>
      <c r="AH44" s="229"/>
      <c r="AI44" s="229"/>
    </row>
    <row r="45" spans="1:35" ht="17.25" customHeight="1" thickTop="1">
      <c r="A45" s="229"/>
      <c r="B45" s="229"/>
      <c r="C45" s="229"/>
      <c r="D45" s="2088"/>
      <c r="E45" s="348"/>
      <c r="F45" s="348"/>
      <c r="G45" s="341"/>
      <c r="J45" s="341"/>
      <c r="M45" s="341"/>
      <c r="N45" s="1303"/>
      <c r="W45" s="866"/>
      <c r="X45" s="866"/>
      <c r="Y45" s="867"/>
      <c r="Z45" s="341"/>
      <c r="AA45" s="1305"/>
      <c r="AB45" s="2069"/>
      <c r="AC45" s="787"/>
      <c r="AD45" s="1305"/>
      <c r="AE45" s="2069"/>
      <c r="AF45" s="1336"/>
      <c r="AG45" s="2092"/>
      <c r="AH45" s="1316"/>
      <c r="AI45" s="2069"/>
    </row>
    <row r="46" spans="1:35" ht="17.25" customHeight="1">
      <c r="A46" s="229"/>
      <c r="B46" s="229"/>
      <c r="C46" s="229"/>
      <c r="D46" s="1335"/>
      <c r="E46" s="1335"/>
      <c r="F46" s="1336"/>
      <c r="G46" s="1305"/>
      <c r="H46" s="1334"/>
      <c r="I46" s="418"/>
      <c r="J46" s="1305"/>
      <c r="K46" s="1334"/>
      <c r="L46" s="418"/>
      <c r="M46" s="1336"/>
      <c r="W46" s="1335"/>
      <c r="X46" s="1335"/>
      <c r="Y46" s="1336"/>
      <c r="Z46" s="1305"/>
      <c r="AA46" s="1334"/>
      <c r="AB46" s="787"/>
      <c r="AC46" s="1305"/>
      <c r="AD46" s="1334"/>
      <c r="AE46" s="787"/>
      <c r="AF46" s="1336"/>
      <c r="AG46" s="2093"/>
      <c r="AH46" s="2069"/>
      <c r="AI46" s="2094"/>
    </row>
    <row r="47" spans="1:35" s="2020" customFormat="1" ht="17.25" customHeight="1">
      <c r="A47" s="229"/>
      <c r="B47" s="229"/>
      <c r="C47" s="229"/>
      <c r="D47" s="866"/>
      <c r="E47" s="866"/>
      <c r="F47" s="867"/>
      <c r="G47" s="341"/>
      <c r="H47" s="341"/>
      <c r="I47" s="341"/>
      <c r="J47" s="341"/>
      <c r="K47" s="867"/>
      <c r="L47" s="867"/>
      <c r="M47" s="341"/>
      <c r="T47" s="2058"/>
      <c r="W47" s="866"/>
      <c r="X47" s="866"/>
      <c r="Y47" s="867"/>
      <c r="Z47" s="341"/>
      <c r="AA47" s="787"/>
      <c r="AB47" s="787"/>
      <c r="AC47" s="787"/>
      <c r="AD47" s="1336"/>
      <c r="AE47" s="1336"/>
      <c r="AF47" s="787"/>
      <c r="AG47" s="2095"/>
      <c r="AH47" s="787"/>
      <c r="AI47" s="787"/>
    </row>
    <row r="48" spans="1:35" ht="17.25" customHeight="1"/>
    <row r="49" spans="4:35" s="2935" customFormat="1" ht="7.5" customHeight="1">
      <c r="T49" s="2058"/>
    </row>
    <row r="50" spans="4:35" ht="17.25" customHeight="1"/>
    <row r="51" spans="4:35" ht="17.25" hidden="1" customHeight="1" thickBot="1">
      <c r="D51" s="418"/>
      <c r="E51" s="418"/>
      <c r="F51" s="418"/>
      <c r="G51" s="1401"/>
      <c r="H51" s="2079"/>
      <c r="I51" s="341"/>
      <c r="J51" s="341"/>
      <c r="K51" s="341"/>
      <c r="L51" s="341"/>
      <c r="M51" s="341"/>
      <c r="N51" s="341"/>
      <c r="O51" s="341"/>
      <c r="P51" s="341"/>
      <c r="W51" s="341"/>
      <c r="X51" s="341"/>
      <c r="Y51" s="341"/>
      <c r="Z51" s="341"/>
      <c r="AA51" s="2079"/>
      <c r="AB51" s="341"/>
      <c r="AC51" s="341"/>
      <c r="AD51" s="341"/>
      <c r="AE51" s="341"/>
      <c r="AF51" s="341"/>
      <c r="AG51" s="341"/>
      <c r="AH51" s="341"/>
      <c r="AI51" s="341"/>
    </row>
    <row r="52" spans="4:35" ht="17.25" hidden="1" customHeight="1" thickTop="1" thickBot="1">
      <c r="D52" s="1326" t="s">
        <v>509</v>
      </c>
      <c r="E52" s="1327"/>
      <c r="F52" s="2080">
        <f>IF((+M53*M54*M55)=0,0,(+M53*M54*M55))</f>
        <v>0</v>
      </c>
      <c r="G52" s="1401"/>
      <c r="H52" s="1307" t="s">
        <v>512</v>
      </c>
      <c r="I52" s="1308"/>
      <c r="J52" s="1308"/>
      <c r="K52" s="1308"/>
      <c r="L52" s="1308"/>
      <c r="M52" s="1309">
        <f>+'2.Ventas y Cobros (Ej 1º,2º)'!P9+'2.Ventas y Cobros (Ej 1º,2º)'!P11+'2.Ventas y Cobros (Ej 1º,2º)'!P13+'2.Ventas y Cobros (Ej 1º,2º)'!P15+'2.Ventas y Cobros (Ej 1º,2º)'!P17+'2.Ventas y Cobros (Ej 1º,2º)'!P19+'2.Ventas y Cobros (Ej 1º,2º)'!P21+'2.Ventas y Cobros (Ej 1º,2º)'!P23</f>
        <v>0</v>
      </c>
      <c r="N52" s="341"/>
      <c r="O52" s="2086" t="s">
        <v>511</v>
      </c>
      <c r="P52" s="2087" t="e">
        <f>(M56/M52)*M54*M55</f>
        <v>#DIV/0!</v>
      </c>
      <c r="W52" s="1326" t="s">
        <v>509</v>
      </c>
      <c r="X52" s="1327"/>
      <c r="Y52" s="2080">
        <f>IF((+AF53*AF54*AF55)=0,0,(+AF53*AF54*AF55))</f>
        <v>0</v>
      </c>
      <c r="Z52" s="341"/>
      <c r="AA52" s="1307" t="s">
        <v>512</v>
      </c>
      <c r="AB52" s="1308"/>
      <c r="AC52" s="1308"/>
      <c r="AD52" s="1308"/>
      <c r="AE52" s="1308"/>
      <c r="AF52" s="1309">
        <f>+'2.Ventas y Cobros (Ej 1º,2º)'!AI9+'2.Ventas y Cobros (Ej 1º,2º)'!AI11+'2.Ventas y Cobros (Ej 1º,2º)'!AI13+'2.Ventas y Cobros (Ej 1º,2º)'!AI15+'2.Ventas y Cobros (Ej 1º,2º)'!AI17+'2.Ventas y Cobros (Ej 1º,2º)'!AI19+'2.Ventas y Cobros (Ej 1º,2º)'!AI21+'2.Ventas y Cobros (Ej 1º,2º)'!AI23</f>
        <v>0</v>
      </c>
      <c r="AG52" s="341"/>
      <c r="AH52" s="2086" t="s">
        <v>511</v>
      </c>
      <c r="AI52" s="2087" t="e">
        <f>(AF56/AF52)*AF54*AF55</f>
        <v>#DIV/0!</v>
      </c>
    </row>
    <row r="53" spans="4:35" ht="17.25" hidden="1" customHeight="1" thickTop="1" thickBot="1">
      <c r="D53" s="341"/>
      <c r="E53" s="341"/>
      <c r="F53" s="341"/>
      <c r="G53" s="1401"/>
      <c r="H53" s="1310" t="s">
        <v>518</v>
      </c>
      <c r="I53" s="1306"/>
      <c r="J53" s="1306"/>
      <c r="K53" s="1306"/>
      <c r="L53" s="1306"/>
      <c r="M53" s="1315">
        <f>IF(M52=0,0,(+'2.Ventas y Cobros (Ej 1º,2º)'!P25/'4.Costes Mk y Métricas (1º,2º)'!M52))</f>
        <v>0</v>
      </c>
      <c r="N53" s="341"/>
      <c r="O53" s="341"/>
      <c r="P53" s="341"/>
      <c r="W53" s="341"/>
      <c r="X53" s="341"/>
      <c r="Y53" s="341"/>
      <c r="Z53" s="341"/>
      <c r="AA53" s="1310" t="s">
        <v>518</v>
      </c>
      <c r="AB53" s="1306"/>
      <c r="AC53" s="1306"/>
      <c r="AD53" s="1306"/>
      <c r="AE53" s="1306"/>
      <c r="AF53" s="1315">
        <f>IF(AF52=0,0,(+'2.Ventas y Cobros (Ej 1º,2º)'!AI25/'4.Costes Mk y Métricas (1º,2º)'!AF52))</f>
        <v>0</v>
      </c>
      <c r="AG53" s="341"/>
      <c r="AH53" s="341"/>
      <c r="AI53" s="341"/>
    </row>
    <row r="54" spans="4:35" ht="17.25" hidden="1" customHeight="1" thickTop="1" thickBot="1">
      <c r="D54" s="341"/>
      <c r="E54" s="341"/>
      <c r="F54" s="341"/>
      <c r="G54" s="1401"/>
      <c r="H54" s="1310" t="s">
        <v>513</v>
      </c>
      <c r="I54" s="1306"/>
      <c r="J54" s="1306"/>
      <c r="K54" s="1306"/>
      <c r="L54" s="1306"/>
      <c r="M54" s="2077">
        <f>+'4.Costes Mk y Métricas (1º,2º)'!J38</f>
        <v>0</v>
      </c>
      <c r="N54" s="341"/>
      <c r="O54" s="2086" t="s">
        <v>510</v>
      </c>
      <c r="P54" s="2087" t="str">
        <f>'4.Costes Mk y Métricas (1º,2º)'!E28</f>
        <v/>
      </c>
      <c r="W54" s="341"/>
      <c r="X54" s="341"/>
      <c r="Y54" s="341"/>
      <c r="Z54" s="341"/>
      <c r="AA54" s="1310" t="s">
        <v>513</v>
      </c>
      <c r="AB54" s="1306"/>
      <c r="AC54" s="1306"/>
      <c r="AD54" s="1306"/>
      <c r="AE54" s="1306"/>
      <c r="AF54" s="2077">
        <f>+'4.Costes Mk y Métricas (1º,2º)'!AC38</f>
        <v>0</v>
      </c>
      <c r="AG54" s="341"/>
      <c r="AH54" s="2086" t="s">
        <v>510</v>
      </c>
      <c r="AI54" s="2087" t="str">
        <f>'4.Costes Mk y Métricas (1º,2º)'!X28</f>
        <v/>
      </c>
    </row>
    <row r="55" spans="4:35" ht="17.25" hidden="1" customHeight="1" thickTop="1">
      <c r="D55" s="341"/>
      <c r="E55" s="341"/>
      <c r="F55" s="341"/>
      <c r="G55" s="1401"/>
      <c r="H55" s="1310" t="s">
        <v>514</v>
      </c>
      <c r="I55" s="1306"/>
      <c r="J55" s="1306"/>
      <c r="K55" s="1306"/>
      <c r="L55" s="1306"/>
      <c r="M55" s="2077">
        <f>+'4.Costes Mk y Métricas (1º,2º)'!J40</f>
        <v>0</v>
      </c>
      <c r="N55" s="341"/>
      <c r="O55" s="341"/>
      <c r="P55" s="341"/>
      <c r="W55" s="341"/>
      <c r="X55" s="341"/>
      <c r="Y55" s="341"/>
      <c r="Z55" s="341"/>
      <c r="AA55" s="1310" t="s">
        <v>514</v>
      </c>
      <c r="AB55" s="1306"/>
      <c r="AC55" s="1306"/>
      <c r="AD55" s="1306"/>
      <c r="AE55" s="1306"/>
      <c r="AF55" s="2077">
        <f>+'4.Costes Mk y Métricas (1º,2º)'!AC40</f>
        <v>0</v>
      </c>
      <c r="AG55" s="341"/>
      <c r="AH55" s="341"/>
      <c r="AI55" s="341"/>
    </row>
    <row r="56" spans="4:35" ht="17.25" hidden="1" customHeight="1">
      <c r="D56" s="341"/>
      <c r="E56" s="341"/>
      <c r="F56" s="341"/>
      <c r="G56" s="1401"/>
      <c r="H56" s="1330" t="s">
        <v>519</v>
      </c>
      <c r="I56" s="1331"/>
      <c r="J56" s="1331"/>
      <c r="K56" s="1331"/>
      <c r="L56" s="1331" t="s">
        <v>516</v>
      </c>
      <c r="M56" s="1328">
        <f>+'6. P y G (Ej 1º,2º)'!O13</f>
        <v>0</v>
      </c>
      <c r="N56" s="341"/>
      <c r="O56" s="341"/>
      <c r="P56" s="341"/>
      <c r="W56" s="341"/>
      <c r="X56" s="341"/>
      <c r="Y56" s="341"/>
      <c r="Z56" s="341"/>
      <c r="AA56" s="1311" t="s">
        <v>515</v>
      </c>
      <c r="AB56" s="1312"/>
      <c r="AC56" s="1312"/>
      <c r="AD56" s="1312"/>
      <c r="AE56" s="1312" t="s">
        <v>516</v>
      </c>
      <c r="AF56" s="1328">
        <f>'6. P y G (Ej 1º,2º)'!AF13</f>
        <v>0</v>
      </c>
      <c r="AG56" s="341"/>
      <c r="AH56" s="341"/>
      <c r="AI56" s="341"/>
    </row>
    <row r="57" spans="4:35" ht="17.25" hidden="1" customHeight="1" thickBot="1">
      <c r="D57" s="341"/>
      <c r="E57" s="341"/>
      <c r="F57" s="341"/>
      <c r="G57" s="1401"/>
      <c r="H57" s="1332"/>
      <c r="I57" s="1333"/>
      <c r="J57" s="1333"/>
      <c r="K57" s="1333"/>
      <c r="L57" s="1333" t="s">
        <v>517</v>
      </c>
      <c r="M57" s="1329">
        <f>IF('3.Costes D.V. y Pagos (1º,2º)'!H91="",0,(1-'3.Costes D.V. y Pagos (1º,2º)'!H91))</f>
        <v>0</v>
      </c>
      <c r="N57" s="341"/>
      <c r="O57" s="341"/>
      <c r="P57" s="341"/>
      <c r="W57" s="341"/>
      <c r="X57" s="341"/>
      <c r="Y57" s="341"/>
      <c r="Z57" s="341"/>
      <c r="AA57" s="1313"/>
      <c r="AB57" s="1314"/>
      <c r="AC57" s="1314"/>
      <c r="AD57" s="1314"/>
      <c r="AE57" s="1314" t="s">
        <v>517</v>
      </c>
      <c r="AF57" s="1329">
        <f>IF('3.Costes D.V. y Pagos (1º,2º)'!AC91="",0,(1-'3.Costes D.V. y Pagos (1º,2º)'!AC91))</f>
        <v>0</v>
      </c>
      <c r="AG57" s="341"/>
      <c r="AH57" s="341"/>
      <c r="AI57" s="341"/>
    </row>
    <row r="58" spans="4:35" ht="17.25" hidden="1" customHeight="1" thickTop="1">
      <c r="D58" s="341"/>
      <c r="E58" s="341"/>
      <c r="F58" s="341"/>
      <c r="G58" s="418"/>
      <c r="H58" s="341"/>
      <c r="I58" s="341"/>
      <c r="J58" s="341"/>
      <c r="K58" s="341"/>
      <c r="L58" s="341"/>
      <c r="M58" s="341"/>
      <c r="N58" s="341"/>
      <c r="O58" s="1316"/>
      <c r="P58" s="1317"/>
      <c r="W58" s="341"/>
      <c r="X58" s="341"/>
      <c r="Y58" s="341"/>
      <c r="Z58" s="341"/>
      <c r="AA58" s="341"/>
      <c r="AB58" s="341"/>
      <c r="AC58" s="341"/>
      <c r="AD58" s="341"/>
      <c r="AE58" s="341"/>
      <c r="AF58" s="341"/>
      <c r="AG58" s="341"/>
      <c r="AH58" s="341"/>
      <c r="AI58" s="341"/>
    </row>
    <row r="59" spans="4:35" ht="17.25" customHeight="1">
      <c r="D59" s="341"/>
      <c r="E59" s="341"/>
      <c r="F59" s="341"/>
      <c r="G59" s="418"/>
      <c r="H59" s="341"/>
      <c r="I59" s="341"/>
      <c r="J59" s="1304"/>
      <c r="K59" s="341"/>
      <c r="L59" s="341"/>
      <c r="M59" s="341"/>
      <c r="N59" s="341"/>
      <c r="O59" s="341"/>
      <c r="P59" s="341"/>
      <c r="W59" s="341"/>
      <c r="X59" s="341"/>
      <c r="Y59" s="341"/>
      <c r="Z59" s="341"/>
      <c r="AA59" s="341"/>
      <c r="AB59" s="341"/>
      <c r="AC59" s="341"/>
      <c r="AD59" s="341"/>
      <c r="AE59" s="341"/>
      <c r="AF59" s="341"/>
      <c r="AG59" s="341"/>
      <c r="AH59" s="341"/>
      <c r="AI59" s="341"/>
    </row>
    <row r="60" spans="4:35" ht="17.25" customHeight="1">
      <c r="D60" s="341"/>
      <c r="E60" s="341"/>
      <c r="F60" s="341"/>
      <c r="G60" s="418"/>
      <c r="H60" s="341"/>
      <c r="I60" s="341"/>
      <c r="J60" s="1304"/>
      <c r="K60" s="341"/>
      <c r="L60" s="341"/>
      <c r="M60" s="341"/>
      <c r="N60" s="341"/>
      <c r="O60" s="341"/>
      <c r="P60" s="341"/>
      <c r="W60" s="341"/>
      <c r="X60" s="341"/>
      <c r="Y60" s="341"/>
      <c r="Z60" s="341"/>
      <c r="AA60" s="341"/>
      <c r="AB60" s="341"/>
      <c r="AC60" s="341"/>
      <c r="AD60" s="341"/>
      <c r="AE60" s="341"/>
      <c r="AF60" s="341"/>
      <c r="AG60" s="341"/>
      <c r="AH60" s="341"/>
      <c r="AI60" s="341"/>
    </row>
    <row r="61" spans="4:35" ht="17.25" customHeight="1">
      <c r="D61" s="341"/>
      <c r="E61" s="341"/>
      <c r="F61" s="341"/>
      <c r="G61" s="418"/>
      <c r="H61" s="341"/>
      <c r="I61" s="341"/>
      <c r="J61" s="341"/>
      <c r="K61" s="341"/>
      <c r="L61" s="341"/>
      <c r="M61" s="341"/>
      <c r="N61" s="341"/>
      <c r="O61" s="341"/>
      <c r="P61" s="341"/>
      <c r="W61" s="341"/>
      <c r="X61" s="341"/>
      <c r="Y61" s="341"/>
      <c r="Z61" s="341"/>
      <c r="AA61" s="341"/>
      <c r="AB61" s="341"/>
      <c r="AC61" s="341"/>
      <c r="AD61" s="341"/>
      <c r="AE61" s="341"/>
      <c r="AF61" s="341"/>
      <c r="AG61" s="341"/>
      <c r="AH61" s="341"/>
      <c r="AI61" s="341"/>
    </row>
    <row r="62" spans="4:35" ht="17.25" customHeight="1">
      <c r="D62" s="341"/>
      <c r="E62" s="341"/>
      <c r="F62" s="341"/>
      <c r="G62" s="418"/>
      <c r="H62" s="341"/>
      <c r="I62" s="341"/>
      <c r="J62" s="1304"/>
      <c r="K62" s="341"/>
      <c r="L62" s="341"/>
      <c r="M62" s="341"/>
      <c r="N62" s="341"/>
      <c r="O62" s="341"/>
      <c r="P62" s="341"/>
    </row>
    <row r="63" spans="4:35" ht="17.25" customHeight="1">
      <c r="D63" s="341"/>
      <c r="E63" s="341"/>
      <c r="F63" s="341"/>
      <c r="G63" s="418"/>
      <c r="H63" s="341"/>
      <c r="I63" s="341"/>
      <c r="J63" s="1304"/>
      <c r="K63" s="341"/>
      <c r="L63" s="341"/>
      <c r="M63" s="341"/>
      <c r="N63" s="341"/>
      <c r="O63" s="341"/>
      <c r="P63" s="341"/>
    </row>
    <row r="64" spans="4:35" ht="17.25" customHeight="1">
      <c r="D64" s="341"/>
      <c r="E64" s="341"/>
      <c r="F64" s="341"/>
      <c r="G64" s="418"/>
      <c r="H64" s="341"/>
      <c r="I64" s="341"/>
      <c r="J64" s="341"/>
      <c r="K64" s="341"/>
      <c r="L64" s="341"/>
      <c r="M64" s="341"/>
      <c r="N64" s="341"/>
      <c r="O64" s="341"/>
      <c r="P64" s="341"/>
    </row>
    <row r="65" spans="4:16" ht="17.25" customHeight="1">
      <c r="D65" s="341"/>
      <c r="E65" s="341"/>
      <c r="F65" s="341"/>
      <c r="G65" s="418"/>
      <c r="H65" s="341"/>
      <c r="I65" s="341"/>
      <c r="J65" s="3530"/>
      <c r="K65" s="3531"/>
      <c r="L65" s="3531"/>
      <c r="M65" s="3531"/>
      <c r="N65" s="3531"/>
      <c r="O65" s="3531"/>
      <c r="P65" s="3531"/>
    </row>
    <row r="66" spans="4:16" ht="17.25" customHeight="1"/>
    <row r="67" spans="4:16" ht="17.25" customHeight="1"/>
  </sheetData>
  <sheetProtection sheet="1" objects="1" scenarios="1"/>
  <mergeCells count="24">
    <mergeCell ref="J65:P65"/>
    <mergeCell ref="A18:C18"/>
    <mergeCell ref="A20:C20"/>
    <mergeCell ref="A21:C21"/>
    <mergeCell ref="A23:C23"/>
    <mergeCell ref="A24:C24"/>
    <mergeCell ref="D30:E30"/>
    <mergeCell ref="D31:E31"/>
    <mergeCell ref="C35:P35"/>
    <mergeCell ref="W30:X30"/>
    <mergeCell ref="W31:X31"/>
    <mergeCell ref="C15:O15"/>
    <mergeCell ref="A12:C12"/>
    <mergeCell ref="W35:AI35"/>
    <mergeCell ref="W3:AH3"/>
    <mergeCell ref="A7:B7"/>
    <mergeCell ref="A8:B8"/>
    <mergeCell ref="A6:B6"/>
    <mergeCell ref="W15:AH15"/>
    <mergeCell ref="A9:C9"/>
    <mergeCell ref="A10:C10"/>
    <mergeCell ref="C3:O3"/>
    <mergeCell ref="U7:V7"/>
    <mergeCell ref="U8:V8"/>
  </mergeCells>
  <conditionalFormatting sqref="D10:P10">
    <cfRule type="cellIs" dxfId="286" priority="8" stopIfTrue="1" operator="equal">
      <formula>0</formula>
    </cfRule>
  </conditionalFormatting>
  <conditionalFormatting sqref="D7:P9">
    <cfRule type="cellIs" dxfId="285" priority="9" stopIfTrue="1" operator="equal">
      <formula>0</formula>
    </cfRule>
  </conditionalFormatting>
  <conditionalFormatting sqref="AI7 W8:AI9">
    <cfRule type="cellIs" dxfId="284" priority="7" stopIfTrue="1" operator="equal">
      <formula>0</formula>
    </cfRule>
  </conditionalFormatting>
  <conditionalFormatting sqref="W10:AI10">
    <cfRule type="cellIs" dxfId="283" priority="6" stopIfTrue="1" operator="equal">
      <formula>0</formula>
    </cfRule>
  </conditionalFormatting>
  <conditionalFormatting sqref="W7:AH7">
    <cfRule type="cellIs" dxfId="282" priority="5" stopIfTrue="1" operator="equal">
      <formula>0</formula>
    </cfRule>
  </conditionalFormatting>
  <conditionalFormatting sqref="D12:P12">
    <cfRule type="cellIs" dxfId="281" priority="4" stopIfTrue="1" operator="equal">
      <formula>0</formula>
    </cfRule>
  </conditionalFormatting>
  <conditionalFormatting sqref="W12:AI12">
    <cfRule type="cellIs" dxfId="280" priority="3" stopIfTrue="1" operator="equal">
      <formula>0</formula>
    </cfRule>
  </conditionalFormatting>
  <conditionalFormatting sqref="P20">
    <cfRule type="cellIs" dxfId="279" priority="2" stopIfTrue="1" operator="equal">
      <formula>0</formula>
    </cfRule>
  </conditionalFormatting>
  <conditionalFormatting sqref="AI20">
    <cfRule type="cellIs" dxfId="278" priority="1" stopIfTrue="1" operator="equal">
      <formula>0</formula>
    </cfRule>
  </conditionalFormatting>
  <dataValidations count="2">
    <dataValidation type="decimal" operator="greaterThanOrEqual" allowBlank="1" showInputMessage="1" error="Solo valores mayores o iguales a cero." sqref="B10:C10 D6:P10 A6:A10 C6:C8 V6 U7:U8 V9:V10 W6:AI10 A12:AI12 AL12:IV12 AF52 P20 A18 M52 D18:P18 W18:AI18 AI20">
      <formula1>0</formula1>
    </dataValidation>
    <dataValidation allowBlank="1" showInputMessage="1" sqref="C15 W3 W35:W36 W15 C3 D36 C35"/>
  </dataValidations>
  <printOptions horizontalCentered="1" verticalCentered="1"/>
  <pageMargins left="0.39370078740157483" right="0.19685039370078741" top="0.39370078740157483" bottom="0.39370078740157483" header="0.31496062992125984" footer="0.31496062992125984"/>
  <pageSetup paperSize="9" scale="45" orientation="landscape" r:id="rId1"/>
  <headerFooter>
    <oddFooter>&amp;A</oddFooter>
  </headerFooter>
  <rowBreaks count="1" manualBreakCount="1">
    <brk id="4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DN162"/>
  <sheetViews>
    <sheetView showGridLines="0" zoomScale="60" zoomScaleNormal="60" zoomScaleSheetLayoutView="50" workbookViewId="0">
      <selection activeCell="S27" sqref="S27"/>
    </sheetView>
  </sheetViews>
  <sheetFormatPr baseColWidth="10" defaultRowHeight="13.5"/>
  <cols>
    <col min="1" max="1" width="45" style="341" customWidth="1"/>
    <col min="2" max="2" width="3.5" style="341" customWidth="1"/>
    <col min="3" max="3" width="20.83203125" style="341" customWidth="1"/>
    <col min="4" max="4" width="16.1640625" style="341" hidden="1" customWidth="1"/>
    <col min="5" max="5" width="17.83203125" style="341" hidden="1" customWidth="1"/>
    <col min="6" max="6" width="19.6640625" style="341" hidden="1" customWidth="1"/>
    <col min="7" max="7" width="18.83203125" style="341" hidden="1" customWidth="1"/>
    <col min="8" max="8" width="16.1640625" style="341" customWidth="1"/>
    <col min="9" max="9" width="17.83203125" style="341" customWidth="1"/>
    <col min="10" max="10" width="19.1640625" style="341" hidden="1" customWidth="1"/>
    <col min="11" max="11" width="18.83203125" style="341" customWidth="1"/>
    <col min="12" max="12" width="3" style="341" customWidth="1"/>
    <col min="13" max="13" width="18.83203125" style="341" customWidth="1"/>
    <col min="14" max="14" width="18.83203125" style="341" hidden="1" customWidth="1"/>
    <col min="15" max="15" width="18.83203125" style="341" customWidth="1"/>
    <col min="16" max="16" width="3" style="341" customWidth="1"/>
    <col min="17" max="17" width="18.83203125" style="341" customWidth="1"/>
    <col min="18" max="18" width="18.83203125" style="341" hidden="1" customWidth="1"/>
    <col min="19" max="19" width="18.83203125" style="341" customWidth="1"/>
    <col min="20" max="20" width="3" style="341" customWidth="1"/>
    <col min="21" max="21" width="18.83203125" style="341" customWidth="1"/>
    <col min="22" max="22" width="18.83203125" style="341" hidden="1" customWidth="1"/>
    <col min="23" max="23" width="18.83203125" style="341" customWidth="1"/>
    <col min="24" max="24" width="3" style="341" customWidth="1"/>
    <col min="25" max="25" width="18.83203125" style="341" customWidth="1"/>
    <col min="26" max="26" width="18.83203125" style="341" hidden="1" customWidth="1"/>
    <col min="27" max="27" width="18.83203125" style="341" customWidth="1"/>
    <col min="28" max="28" width="5.1640625" style="341" customWidth="1"/>
    <col min="29" max="29" width="0.83203125" style="2144" customWidth="1"/>
    <col min="30" max="30" width="4.6640625" style="341" customWidth="1"/>
    <col min="31" max="31" width="15.5" style="341" customWidth="1"/>
    <col min="32" max="32" width="18.83203125" style="341" customWidth="1"/>
    <col min="33" max="35" width="18.83203125" style="341" hidden="1" customWidth="1"/>
    <col min="36" max="36" width="13.6640625" style="341" customWidth="1"/>
    <col min="37" max="37" width="15.6640625" style="341" customWidth="1"/>
    <col min="38" max="38" width="18" style="341" customWidth="1"/>
    <col min="39" max="39" width="18" style="341" hidden="1" customWidth="1"/>
    <col min="40" max="40" width="18.83203125" style="341" customWidth="1"/>
    <col min="41" max="41" width="3.1640625" style="341" customWidth="1"/>
    <col min="42" max="42" width="18.83203125" style="341" customWidth="1"/>
    <col min="43" max="43" width="18.83203125" style="341" hidden="1" customWidth="1"/>
    <col min="44" max="44" width="18.83203125" style="341" customWidth="1"/>
    <col min="45" max="45" width="3.1640625" style="341" customWidth="1"/>
    <col min="46" max="46" width="18.83203125" style="341" customWidth="1"/>
    <col min="47" max="47" width="18.83203125" style="341" hidden="1" customWidth="1"/>
    <col min="48" max="48" width="18.83203125" style="341" customWidth="1"/>
    <col min="49" max="49" width="3.1640625" style="341" customWidth="1"/>
    <col min="50" max="50" width="18.83203125" style="341" customWidth="1"/>
    <col min="51" max="51" width="18.83203125" style="341" hidden="1" customWidth="1"/>
    <col min="52" max="52" width="18.83203125" style="341" customWidth="1"/>
    <col min="53" max="53" width="3.1640625" style="341" customWidth="1"/>
    <col min="54" max="54" width="18.83203125" style="341" customWidth="1"/>
    <col min="55" max="55" width="18.83203125" style="341" hidden="1" customWidth="1"/>
    <col min="56" max="56" width="18.83203125" style="341" customWidth="1"/>
    <col min="57" max="57" width="8.83203125" style="341" customWidth="1"/>
    <col min="58" max="58" width="1.33203125" style="2144" customWidth="1"/>
    <col min="59" max="59" width="7" style="787" customWidth="1"/>
    <col min="60" max="60" width="16.83203125" style="341" hidden="1" customWidth="1"/>
    <col min="61" max="61" width="18.83203125" style="341" hidden="1" customWidth="1"/>
    <col min="62" max="62" width="13.1640625" style="341" hidden="1" customWidth="1"/>
    <col min="63" max="63" width="15.1640625" style="341" hidden="1" customWidth="1"/>
    <col min="64" max="65" width="18" style="341" hidden="1" customWidth="1"/>
    <col min="66" max="66" width="18.6640625" style="341" hidden="1" customWidth="1"/>
    <col min="67" max="67" width="4" style="787" hidden="1" customWidth="1"/>
    <col min="68" max="68" width="15.6640625" style="341" hidden="1" customWidth="1"/>
    <col min="69" max="69" width="18.83203125" style="341" hidden="1" customWidth="1"/>
    <col min="70" max="70" width="13.5" style="341" hidden="1" customWidth="1"/>
    <col min="71" max="71" width="17.1640625" style="341" hidden="1" customWidth="1"/>
    <col min="72" max="73" width="18" style="341" hidden="1" customWidth="1"/>
    <col min="74" max="74" width="18.83203125" style="341" hidden="1" customWidth="1"/>
    <col min="75" max="75" width="4" style="787" hidden="1" customWidth="1"/>
    <col min="76" max="76" width="15.6640625" style="341" hidden="1" customWidth="1"/>
    <col min="77" max="77" width="18.83203125" style="341" hidden="1" customWidth="1"/>
    <col min="78" max="78" width="13.5" style="341" hidden="1" customWidth="1"/>
    <col min="79" max="79" width="16.83203125" style="341" hidden="1" customWidth="1"/>
    <col min="80" max="81" width="18" style="341" hidden="1" customWidth="1"/>
    <col min="82" max="82" width="18.5" style="341" hidden="1" customWidth="1"/>
    <col min="83" max="83" width="11" style="341" customWidth="1"/>
    <col min="84" max="84" width="15.5" style="341" customWidth="1"/>
    <col min="85" max="85" width="10.1640625" style="341" customWidth="1"/>
    <col min="86" max="86" width="11.6640625" style="341" bestFit="1" customWidth="1"/>
    <col min="87" max="87" width="10.33203125" style="341" bestFit="1" customWidth="1"/>
    <col min="88" max="88" width="11.6640625" style="341" hidden="1" customWidth="1"/>
    <col min="89" max="89" width="15.33203125" style="341" hidden="1" customWidth="1"/>
    <col min="90" max="90" width="12" style="341" hidden="1" customWidth="1"/>
    <col min="91" max="92" width="12" style="341" customWidth="1"/>
    <col min="93" max="16384" width="12" style="341"/>
  </cols>
  <sheetData>
    <row r="1" spans="1:118" ht="15" customHeight="1">
      <c r="A1" s="722" t="str">
        <f>IF('1.Datos Básicos. Product-Serv'!B5=0,"",'1.Datos Básicos. Product-Serv'!B5)</f>
        <v/>
      </c>
      <c r="B1" s="722"/>
      <c r="C1" s="271"/>
      <c r="D1" s="723"/>
      <c r="E1" s="723"/>
      <c r="F1" s="723"/>
      <c r="G1" s="723"/>
      <c r="H1" s="723"/>
      <c r="I1" s="723"/>
      <c r="J1" s="723"/>
      <c r="K1" s="724"/>
      <c r="L1" s="724"/>
      <c r="M1" s="724"/>
      <c r="N1" s="724"/>
      <c r="O1" s="724"/>
      <c r="P1" s="724"/>
      <c r="Q1" s="724"/>
      <c r="R1" s="724"/>
      <c r="S1" s="724"/>
      <c r="T1" s="724"/>
      <c r="U1" s="724"/>
      <c r="V1" s="724"/>
      <c r="W1" s="724"/>
      <c r="X1" s="724"/>
      <c r="Y1" s="724"/>
      <c r="Z1" s="724"/>
      <c r="AA1" s="724"/>
      <c r="AB1" s="724"/>
      <c r="AC1" s="2143"/>
      <c r="AD1" s="724"/>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1888"/>
      <c r="BG1" s="725"/>
      <c r="BH1" s="723"/>
      <c r="BI1" s="723"/>
      <c r="BJ1" s="723"/>
      <c r="BK1" s="723"/>
      <c r="BL1" s="723"/>
      <c r="BM1" s="723"/>
      <c r="BN1" s="723"/>
      <c r="BO1" s="725"/>
      <c r="BP1" s="723"/>
      <c r="BQ1" s="723"/>
      <c r="BR1" s="723"/>
      <c r="BS1" s="723"/>
      <c r="BT1" s="723"/>
      <c r="BU1" s="271"/>
      <c r="BV1" s="271"/>
      <c r="BW1" s="726"/>
      <c r="BX1" s="271"/>
      <c r="BY1" s="271"/>
      <c r="BZ1" s="271"/>
      <c r="CA1" s="271"/>
      <c r="CB1" s="271"/>
      <c r="CC1" s="271"/>
      <c r="CD1" s="271"/>
      <c r="CE1" s="271"/>
      <c r="CF1" s="271"/>
      <c r="CG1" s="271"/>
      <c r="CH1" s="271"/>
      <c r="CI1" s="271"/>
      <c r="CJ1" s="271"/>
      <c r="CK1" s="271"/>
    </row>
    <row r="2" spans="1:118" ht="15" customHeight="1">
      <c r="A2" s="727"/>
      <c r="B2" s="727"/>
      <c r="C2" s="271"/>
      <c r="D2" s="723"/>
      <c r="E2" s="723"/>
      <c r="F2" s="725"/>
      <c r="G2" s="723"/>
      <c r="H2" s="723"/>
      <c r="I2" s="723"/>
      <c r="J2" s="723"/>
      <c r="K2" s="724"/>
      <c r="L2" s="724"/>
      <c r="M2" s="724"/>
      <c r="N2" s="724"/>
      <c r="O2" s="724"/>
      <c r="P2" s="724"/>
      <c r="Q2" s="724"/>
      <c r="R2" s="724"/>
      <c r="S2" s="724"/>
      <c r="T2" s="724"/>
      <c r="U2" s="724"/>
      <c r="V2" s="724"/>
      <c r="W2" s="724"/>
      <c r="X2" s="724"/>
      <c r="Y2" s="724"/>
      <c r="Z2" s="724"/>
      <c r="AA2" s="724"/>
      <c r="AB2" s="724"/>
      <c r="AC2" s="2143"/>
      <c r="AD2" s="724"/>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1888"/>
      <c r="BG2" s="725"/>
      <c r="BH2" s="723"/>
      <c r="BI2" s="723"/>
      <c r="BJ2" s="723"/>
      <c r="BK2" s="723"/>
      <c r="BL2" s="723"/>
      <c r="BM2" s="723"/>
      <c r="BN2" s="723"/>
      <c r="BO2" s="725"/>
      <c r="BP2" s="723"/>
      <c r="BQ2" s="723"/>
      <c r="BR2" s="723"/>
      <c r="BS2" s="723"/>
      <c r="BT2" s="723"/>
      <c r="BU2" s="271"/>
      <c r="BV2" s="271"/>
      <c r="BW2" s="726"/>
      <c r="BX2" s="271"/>
      <c r="BY2" s="271"/>
      <c r="BZ2" s="271"/>
      <c r="CA2" s="271"/>
      <c r="CB2" s="271"/>
      <c r="CC2" s="271"/>
      <c r="CD2" s="271"/>
      <c r="CE2" s="271"/>
      <c r="CF2" s="271"/>
      <c r="CG2" s="271"/>
      <c r="CH2" s="271"/>
      <c r="CI2" s="271"/>
      <c r="CJ2" s="271"/>
      <c r="CK2" s="271"/>
    </row>
    <row r="3" spans="1:118" ht="32.25" customHeight="1">
      <c r="A3" s="727"/>
      <c r="B3" s="727"/>
      <c r="C3" s="3350" t="s">
        <v>665</v>
      </c>
      <c r="D3" s="3351"/>
      <c r="E3" s="3351"/>
      <c r="F3" s="3351"/>
      <c r="G3" s="3351"/>
      <c r="H3" s="3352"/>
      <c r="I3" s="3352"/>
      <c r="J3" s="3352"/>
      <c r="K3" s="3352"/>
      <c r="L3" s="3352"/>
      <c r="M3" s="3352"/>
      <c r="N3" s="3352"/>
      <c r="O3" s="3529"/>
      <c r="P3" s="3529"/>
      <c r="Q3" s="3529"/>
      <c r="R3" s="3529"/>
      <c r="S3" s="3529"/>
      <c r="T3" s="3529"/>
      <c r="U3" s="3529"/>
      <c r="V3" s="3529"/>
      <c r="W3" s="3529"/>
      <c r="X3" s="3529"/>
      <c r="Y3" s="3529"/>
      <c r="Z3" s="3529"/>
      <c r="AA3" s="3529"/>
      <c r="AB3" s="724"/>
      <c r="AC3" s="2143"/>
      <c r="AD3" s="724"/>
      <c r="AE3" s="3350" t="s">
        <v>665</v>
      </c>
      <c r="AF3" s="3351"/>
      <c r="AG3" s="3351"/>
      <c r="AH3" s="3351"/>
      <c r="AI3" s="3351"/>
      <c r="AJ3" s="3352"/>
      <c r="AK3" s="3352"/>
      <c r="AL3" s="3352"/>
      <c r="AM3" s="3352"/>
      <c r="AN3" s="3352"/>
      <c r="AO3" s="3352"/>
      <c r="AP3" s="3352"/>
      <c r="AQ3" s="3529"/>
      <c r="AR3" s="3529"/>
      <c r="AS3" s="3529"/>
      <c r="AT3" s="3529"/>
      <c r="AU3" s="3529"/>
      <c r="AV3" s="3529"/>
      <c r="AW3" s="3529"/>
      <c r="AX3" s="3529"/>
      <c r="AY3" s="3529"/>
      <c r="AZ3" s="3529"/>
      <c r="BA3" s="3529"/>
      <c r="BB3" s="3529"/>
      <c r="BC3" s="3529"/>
      <c r="BD3" s="3529"/>
      <c r="BE3" s="723"/>
      <c r="BF3" s="1888"/>
      <c r="BG3" s="725"/>
      <c r="BH3" s="723"/>
      <c r="BI3" s="723"/>
      <c r="BJ3" s="723"/>
      <c r="BK3" s="723"/>
      <c r="BL3" s="723"/>
      <c r="BM3" s="723"/>
      <c r="BN3" s="723"/>
      <c r="BO3" s="725"/>
      <c r="BP3" s="723"/>
      <c r="BQ3" s="723"/>
      <c r="BR3" s="723"/>
      <c r="BS3" s="723"/>
      <c r="BT3" s="723"/>
      <c r="BU3" s="271"/>
      <c r="BV3" s="271"/>
      <c r="BW3" s="726"/>
      <c r="BX3" s="271"/>
      <c r="BY3" s="271"/>
      <c r="BZ3" s="271"/>
      <c r="CA3" s="271"/>
      <c r="CB3" s="271"/>
      <c r="CC3" s="271"/>
      <c r="CD3" s="271"/>
      <c r="CE3" s="271"/>
      <c r="CF3" s="271"/>
      <c r="CG3" s="271"/>
      <c r="CH3" s="271"/>
      <c r="CI3" s="271"/>
      <c r="CJ3" s="271"/>
      <c r="CK3" s="271"/>
    </row>
    <row r="4" spans="1:118" ht="27" customHeight="1">
      <c r="A4" s="1289"/>
      <c r="B4" s="1289"/>
      <c r="C4" s="271"/>
      <c r="D4" s="723"/>
      <c r="E4" s="723"/>
      <c r="F4" s="723"/>
      <c r="G4" s="723"/>
      <c r="H4" s="271"/>
      <c r="I4" s="271"/>
      <c r="J4" s="723"/>
      <c r="K4" s="724"/>
      <c r="L4" s="724"/>
      <c r="M4" s="724"/>
      <c r="N4" s="724"/>
      <c r="O4" s="2249" t="str">
        <f>'4.Costes Mk y Métricas (1º,2º)'!I4</f>
        <v>1º Ejercicio 0</v>
      </c>
      <c r="P4" s="724"/>
      <c r="Q4" s="724"/>
      <c r="R4" s="724"/>
      <c r="S4" s="724"/>
      <c r="T4" s="724"/>
      <c r="U4" s="724"/>
      <c r="V4" s="724"/>
      <c r="W4" s="724"/>
      <c r="X4" s="724"/>
      <c r="Y4" s="724"/>
      <c r="Z4" s="724"/>
      <c r="AA4" s="724"/>
      <c r="AB4" s="724"/>
      <c r="AC4" s="2143"/>
      <c r="AD4" s="724"/>
      <c r="AE4" s="723"/>
      <c r="AF4" s="723"/>
      <c r="AG4" s="723"/>
      <c r="AH4" s="723"/>
      <c r="AI4" s="723"/>
      <c r="AJ4" s="723"/>
      <c r="AK4" s="723"/>
      <c r="AL4" s="723"/>
      <c r="AM4" s="723"/>
      <c r="AN4" s="723"/>
      <c r="AO4" s="723"/>
      <c r="AP4" s="2250" t="str">
        <f>'4.Costes Mk y Métricas (1º,2º)'!AB4</f>
        <v>2º Ejercicio 1</v>
      </c>
      <c r="AQ4" s="723"/>
      <c r="AR4" s="723"/>
      <c r="AS4" s="723"/>
      <c r="AT4" s="723"/>
      <c r="AU4" s="723"/>
      <c r="AV4" s="723"/>
      <c r="AW4" s="723"/>
      <c r="AX4" s="723"/>
      <c r="AY4" s="723"/>
      <c r="AZ4" s="723"/>
      <c r="BA4" s="723"/>
      <c r="BB4" s="723"/>
      <c r="BC4" s="723"/>
      <c r="BD4" s="723"/>
      <c r="BE4" s="723"/>
      <c r="BF4" s="1888"/>
      <c r="BG4" s="725"/>
      <c r="BH4" s="723"/>
      <c r="BI4" s="723"/>
      <c r="BJ4" s="723"/>
      <c r="BK4" s="723"/>
      <c r="BL4" s="723"/>
      <c r="BM4" s="723"/>
      <c r="BN4" s="723"/>
      <c r="BO4" s="725"/>
      <c r="BP4" s="723"/>
      <c r="BQ4" s="723"/>
      <c r="BR4" s="723"/>
      <c r="BS4" s="723"/>
      <c r="BT4" s="723"/>
      <c r="BU4" s="271"/>
      <c r="BV4" s="271"/>
      <c r="BW4" s="726"/>
      <c r="BX4" s="271"/>
      <c r="BY4" s="271"/>
      <c r="BZ4" s="271"/>
      <c r="CA4" s="271"/>
      <c r="CB4" s="271"/>
      <c r="CC4" s="271"/>
      <c r="CD4" s="271"/>
      <c r="CE4" s="271"/>
      <c r="CF4" s="271"/>
      <c r="CG4" s="271"/>
      <c r="CH4" s="271"/>
      <c r="CI4" s="271"/>
      <c r="CJ4" s="271"/>
      <c r="CK4" s="271"/>
    </row>
    <row r="5" spans="1:118" ht="15.75" customHeight="1" thickBot="1">
      <c r="A5" s="1289"/>
      <c r="B5" s="1289"/>
      <c r="C5" s="271"/>
      <c r="D5" s="723"/>
      <c r="E5" s="723"/>
      <c r="F5" s="723"/>
      <c r="G5" s="723"/>
      <c r="H5" s="271"/>
      <c r="I5" s="271"/>
      <c r="J5" s="723"/>
      <c r="K5" s="724"/>
      <c r="L5" s="724"/>
      <c r="M5" s="724"/>
      <c r="N5" s="724"/>
      <c r="O5" s="2154"/>
      <c r="P5" s="724"/>
      <c r="Q5" s="724"/>
      <c r="R5" s="724"/>
      <c r="S5" s="724"/>
      <c r="T5" s="724"/>
      <c r="U5" s="724"/>
      <c r="V5" s="724"/>
      <c r="W5" s="724"/>
      <c r="X5" s="724"/>
      <c r="Y5" s="724"/>
      <c r="Z5" s="724"/>
      <c r="AA5" s="724"/>
      <c r="AB5" s="724"/>
      <c r="AC5" s="2143"/>
      <c r="AD5" s="724"/>
      <c r="AE5" s="723"/>
      <c r="AF5" s="723"/>
      <c r="AG5" s="723"/>
      <c r="AH5" s="723"/>
      <c r="AI5" s="723"/>
      <c r="AJ5" s="723"/>
      <c r="AK5" s="723"/>
      <c r="AL5" s="723"/>
      <c r="AM5" s="723"/>
      <c r="AN5" s="723"/>
      <c r="AO5" s="723"/>
      <c r="AP5" s="723"/>
      <c r="AQ5" s="723"/>
      <c r="AR5" s="723"/>
      <c r="AS5" s="723"/>
      <c r="AT5" s="723"/>
      <c r="AU5" s="723"/>
      <c r="AV5" s="723"/>
      <c r="AW5" s="723"/>
      <c r="AX5" s="723"/>
      <c r="AY5" s="723"/>
      <c r="AZ5" s="723"/>
      <c r="BA5" s="723"/>
      <c r="BB5" s="723"/>
      <c r="BC5" s="723"/>
      <c r="BD5" s="723"/>
      <c r="BE5" s="723"/>
      <c r="BF5" s="1888"/>
      <c r="BG5" s="725"/>
      <c r="BH5" s="723"/>
      <c r="BI5" s="723"/>
      <c r="BJ5" s="723"/>
      <c r="BK5" s="723"/>
      <c r="BL5" s="723"/>
      <c r="BM5" s="723"/>
      <c r="BN5" s="723"/>
      <c r="BO5" s="725"/>
      <c r="BP5" s="723"/>
      <c r="BQ5" s="723"/>
      <c r="BR5" s="723"/>
      <c r="BS5" s="723"/>
      <c r="BT5" s="723"/>
      <c r="BU5" s="271"/>
      <c r="BV5" s="271"/>
      <c r="BW5" s="726"/>
      <c r="BX5" s="271"/>
      <c r="BY5" s="271"/>
      <c r="BZ5" s="271"/>
      <c r="CA5" s="271"/>
      <c r="CB5" s="271"/>
      <c r="CC5" s="271"/>
      <c r="CD5" s="271"/>
      <c r="CE5" s="271"/>
      <c r="CF5" s="271"/>
      <c r="CG5" s="271"/>
      <c r="CH5" s="271"/>
      <c r="CI5" s="271"/>
      <c r="CJ5" s="271"/>
      <c r="CK5" s="271"/>
    </row>
    <row r="6" spans="1:118" ht="27.75" customHeight="1" thickTop="1" thickBot="1">
      <c r="A6" s="3470" t="s">
        <v>664</v>
      </c>
      <c r="B6" s="3463"/>
      <c r="C6" s="3463"/>
      <c r="D6" s="3463"/>
      <c r="E6" s="3463"/>
      <c r="F6" s="3463"/>
      <c r="G6" s="3463"/>
      <c r="H6" s="3463"/>
      <c r="I6" s="3463"/>
      <c r="J6" s="3463"/>
      <c r="K6" s="3602"/>
      <c r="L6" s="724"/>
      <c r="M6" s="345"/>
      <c r="N6" s="724"/>
      <c r="O6" s="724"/>
      <c r="P6" s="724"/>
      <c r="Q6" s="345"/>
      <c r="R6" s="345"/>
      <c r="S6" s="724"/>
      <c r="T6" s="724"/>
      <c r="U6" s="724"/>
      <c r="V6" s="724"/>
      <c r="W6" s="724"/>
      <c r="X6" s="724"/>
      <c r="Y6" s="724"/>
      <c r="Z6" s="724"/>
      <c r="AA6" s="724"/>
      <c r="AB6" s="724"/>
      <c r="AC6" s="2143"/>
      <c r="AD6" s="724"/>
      <c r="AE6" s="723"/>
      <c r="AF6" s="723"/>
      <c r="AG6" s="723"/>
      <c r="AH6" s="723"/>
      <c r="AI6" s="723"/>
      <c r="AJ6" s="723"/>
      <c r="AK6" s="723"/>
      <c r="AL6" s="723"/>
      <c r="AM6" s="723"/>
      <c r="AN6" s="723"/>
      <c r="AO6" s="723"/>
      <c r="AP6" s="723"/>
      <c r="AQ6" s="723"/>
      <c r="AR6" s="723"/>
      <c r="AS6" s="723"/>
      <c r="AT6" s="723"/>
      <c r="AU6" s="723"/>
      <c r="AV6" s="723"/>
      <c r="AW6" s="723"/>
      <c r="AX6" s="723"/>
      <c r="AY6" s="723"/>
      <c r="AZ6" s="723"/>
      <c r="BA6" s="723"/>
      <c r="BB6" s="723"/>
      <c r="BC6" s="723"/>
      <c r="BD6" s="723"/>
      <c r="BE6" s="723"/>
      <c r="BF6" s="1888"/>
      <c r="BG6" s="725"/>
      <c r="BH6" s="723"/>
      <c r="BI6" s="723"/>
      <c r="BJ6" s="723"/>
      <c r="BK6" s="723"/>
      <c r="BL6" s="723"/>
      <c r="BM6" s="723"/>
      <c r="BN6" s="723"/>
      <c r="BO6" s="725"/>
      <c r="BP6" s="723"/>
      <c r="BQ6" s="723"/>
      <c r="BR6" s="723"/>
      <c r="BS6" s="723"/>
      <c r="BT6" s="723"/>
      <c r="BU6" s="271"/>
      <c r="BV6" s="271"/>
      <c r="BW6" s="726"/>
      <c r="BX6" s="271"/>
      <c r="BY6" s="271"/>
      <c r="BZ6" s="271"/>
      <c r="CA6" s="271"/>
      <c r="CB6" s="271"/>
      <c r="CC6" s="271"/>
      <c r="CD6" s="271"/>
      <c r="CE6" s="271"/>
      <c r="CF6" s="271"/>
      <c r="CG6" s="271"/>
      <c r="CH6" s="271"/>
      <c r="CI6" s="271"/>
      <c r="CJ6" s="271"/>
      <c r="CK6" s="271"/>
    </row>
    <row r="7" spans="1:118" ht="18" customHeight="1" thickTop="1" thickBot="1">
      <c r="A7" s="2161"/>
      <c r="B7" s="310"/>
      <c r="C7" s="345"/>
      <c r="D7" s="587"/>
      <c r="E7" s="587"/>
      <c r="F7" s="587"/>
      <c r="G7" s="587"/>
      <c r="H7" s="587"/>
      <c r="I7" s="587"/>
      <c r="J7" s="587"/>
      <c r="K7" s="587"/>
      <c r="L7" s="2156"/>
      <c r="M7" s="2047" t="s">
        <v>560</v>
      </c>
      <c r="N7" s="2156"/>
      <c r="O7" s="2156"/>
      <c r="P7" s="2156"/>
      <c r="Q7" s="2156"/>
      <c r="R7" s="2156"/>
      <c r="S7" s="2156"/>
      <c r="T7" s="2156"/>
      <c r="U7" s="2156"/>
      <c r="V7" s="2156"/>
      <c r="W7" s="2156"/>
      <c r="X7" s="2156"/>
      <c r="Y7" s="2156"/>
      <c r="Z7" s="2156"/>
      <c r="AA7" s="2156"/>
      <c r="AB7" s="725"/>
      <c r="AC7" s="1888"/>
      <c r="AD7" s="725"/>
      <c r="AE7" s="2169"/>
      <c r="AF7" s="2169"/>
      <c r="AG7" s="2169"/>
      <c r="AH7" s="2169"/>
      <c r="AI7" s="2169"/>
      <c r="AJ7" s="2169"/>
      <c r="AK7" s="2169"/>
      <c r="AL7" s="2169"/>
      <c r="AM7" s="2169"/>
      <c r="AN7" s="2170"/>
      <c r="AO7" s="2170"/>
      <c r="AP7" s="2170"/>
      <c r="AQ7" s="2170"/>
      <c r="AR7" s="2170"/>
      <c r="AS7" s="2170"/>
      <c r="AT7" s="2170"/>
      <c r="AU7" s="2170"/>
      <c r="AV7" s="2170"/>
      <c r="AW7" s="2170"/>
      <c r="AX7" s="2170"/>
      <c r="AY7" s="2170"/>
      <c r="AZ7" s="2170"/>
      <c r="BA7" s="2170"/>
      <c r="BB7" s="2170"/>
      <c r="BC7" s="2170"/>
      <c r="BD7" s="2171"/>
      <c r="BE7" s="725"/>
      <c r="BF7" s="1888"/>
      <c r="BG7" s="725"/>
      <c r="BH7" s="1578"/>
      <c r="BI7" s="1578"/>
      <c r="BJ7" s="1578"/>
      <c r="BK7" s="1578"/>
      <c r="BL7" s="1578"/>
      <c r="BM7" s="1578"/>
      <c r="BN7" s="1578"/>
      <c r="BO7" s="725"/>
      <c r="BP7" s="1390"/>
      <c r="BQ7" s="1390"/>
      <c r="BR7" s="1390"/>
      <c r="BS7" s="1390"/>
      <c r="BT7" s="1390"/>
      <c r="BU7" s="1391"/>
      <c r="BV7" s="1391"/>
      <c r="BW7" s="726"/>
      <c r="BX7" s="1391"/>
      <c r="BY7" s="1391"/>
      <c r="BZ7" s="1391"/>
      <c r="CA7" s="1391"/>
      <c r="CB7" s="1391"/>
      <c r="CC7" s="1391"/>
      <c r="CD7" s="1391"/>
      <c r="CE7" s="271"/>
      <c r="CF7" s="271"/>
      <c r="CG7" s="271"/>
      <c r="CH7" s="271"/>
      <c r="CI7" s="271"/>
      <c r="CJ7" s="271"/>
      <c r="CK7" s="271"/>
    </row>
    <row r="8" spans="1:118" s="864" customFormat="1" ht="24" customHeight="1" thickTop="1" thickBot="1">
      <c r="A8" s="2162"/>
      <c r="B8" s="1674"/>
      <c r="C8" s="3589" t="s">
        <v>52</v>
      </c>
      <c r="D8" s="3590"/>
      <c r="E8" s="3591"/>
      <c r="F8" s="3592"/>
      <c r="G8" s="3592"/>
      <c r="H8" s="3592"/>
      <c r="I8" s="3592"/>
      <c r="J8" s="3592"/>
      <c r="K8" s="3593"/>
      <c r="L8" s="2160"/>
      <c r="M8" s="3597" t="s">
        <v>549</v>
      </c>
      <c r="N8" s="3598"/>
      <c r="O8" s="3599"/>
      <c r="P8" s="2159"/>
      <c r="Q8" s="3600" t="s">
        <v>550</v>
      </c>
      <c r="R8" s="3598"/>
      <c r="S8" s="3599"/>
      <c r="T8" s="2159"/>
      <c r="U8" s="3600" t="s">
        <v>553</v>
      </c>
      <c r="V8" s="3598"/>
      <c r="W8" s="3599"/>
      <c r="X8" s="2159"/>
      <c r="Y8" s="3600" t="s">
        <v>554</v>
      </c>
      <c r="Z8" s="3598"/>
      <c r="AA8" s="3601"/>
      <c r="AB8" s="639"/>
      <c r="AC8" s="1889"/>
      <c r="AD8" s="639"/>
      <c r="AE8" s="3594" t="s">
        <v>52</v>
      </c>
      <c r="AF8" s="3595"/>
      <c r="AG8" s="3595"/>
      <c r="AH8" s="3595"/>
      <c r="AI8" s="3595"/>
      <c r="AJ8" s="3595"/>
      <c r="AK8" s="3595"/>
      <c r="AL8" s="3595"/>
      <c r="AM8" s="3595"/>
      <c r="AN8" s="3596"/>
      <c r="AO8" s="728"/>
      <c r="AP8" s="3580" t="str">
        <f>M8</f>
        <v>1º Trim</v>
      </c>
      <c r="AQ8" s="3581"/>
      <c r="AR8" s="3582"/>
      <c r="AS8" s="2132"/>
      <c r="AT8" s="3580" t="str">
        <f>Q8</f>
        <v>2º Trim</v>
      </c>
      <c r="AU8" s="3581"/>
      <c r="AV8" s="3582"/>
      <c r="AW8" s="2132"/>
      <c r="AX8" s="3580" t="str">
        <f>U8</f>
        <v>3º Trim</v>
      </c>
      <c r="AY8" s="3581"/>
      <c r="AZ8" s="3582"/>
      <c r="BA8" s="2132"/>
      <c r="BB8" s="3580" t="str">
        <f>Y8</f>
        <v>4º Trim</v>
      </c>
      <c r="BC8" s="3581"/>
      <c r="BD8" s="3582"/>
      <c r="BE8" s="728"/>
      <c r="BF8" s="2147"/>
      <c r="BG8" s="728"/>
      <c r="BH8" s="3583" t="str">
        <f>"3º ejerc. "&amp;Año_Com_Ejerc_3</f>
        <v>3º ejerc. 2</v>
      </c>
      <c r="BI8" s="3584"/>
      <c r="BJ8" s="3584"/>
      <c r="BK8" s="3584"/>
      <c r="BL8" s="3584"/>
      <c r="BM8" s="3584"/>
      <c r="BN8" s="3585"/>
      <c r="BO8" s="728"/>
      <c r="BP8" s="3586" t="str">
        <f>"4º ejerc. "&amp;Año_Com_Ejerc_4</f>
        <v>4º ejerc. 3</v>
      </c>
      <c r="BQ8" s="3587"/>
      <c r="BR8" s="3587"/>
      <c r="BS8" s="3587"/>
      <c r="BT8" s="3587"/>
      <c r="BU8" s="3587"/>
      <c r="BV8" s="3588"/>
      <c r="BW8" s="728"/>
      <c r="BX8" s="3583" t="str">
        <f>"5º ejerc. "&amp;Año_Com_Ejerc_5</f>
        <v>5º ejerc. 4</v>
      </c>
      <c r="BY8" s="3584"/>
      <c r="BZ8" s="3584"/>
      <c r="CA8" s="3584"/>
      <c r="CB8" s="3584"/>
      <c r="CC8" s="3584"/>
      <c r="CD8" s="3585"/>
      <c r="CE8" s="2107"/>
      <c r="CF8" s="2107"/>
      <c r="CG8" s="2107"/>
      <c r="CH8" s="2107"/>
      <c r="CI8" s="2107"/>
      <c r="CJ8" s="2107"/>
      <c r="CK8" s="2107"/>
      <c r="CL8" s="2107"/>
      <c r="CM8" s="2107"/>
      <c r="CN8" s="2107"/>
      <c r="CO8" s="2107"/>
      <c r="CP8" s="2107"/>
      <c r="CQ8" s="2107"/>
      <c r="CR8" s="2107"/>
      <c r="CS8" s="2107"/>
      <c r="CT8" s="2107"/>
      <c r="CU8" s="2107"/>
      <c r="CV8" s="2107"/>
      <c r="CW8" s="2107"/>
      <c r="CX8" s="2107"/>
      <c r="CY8" s="2107"/>
      <c r="CZ8" s="2107"/>
      <c r="DA8" s="2107"/>
      <c r="DB8" s="2107"/>
      <c r="DC8" s="2107"/>
      <c r="DD8" s="2107"/>
      <c r="DE8" s="2107"/>
      <c r="DF8" s="2107"/>
      <c r="DG8" s="2107"/>
      <c r="DH8" s="2107"/>
      <c r="DI8" s="2107"/>
      <c r="DJ8" s="2107"/>
      <c r="DK8" s="2107"/>
      <c r="DL8" s="2107"/>
      <c r="DM8" s="2107"/>
      <c r="DN8" s="2107"/>
    </row>
    <row r="9" spans="1:118" ht="63" customHeight="1" thickTop="1" thickBot="1">
      <c r="A9" s="2149" t="s">
        <v>38</v>
      </c>
      <c r="B9" s="2155"/>
      <c r="C9" s="2165" t="s">
        <v>270</v>
      </c>
      <c r="D9" s="1868" t="s">
        <v>133</v>
      </c>
      <c r="E9" s="1868" t="s">
        <v>135</v>
      </c>
      <c r="F9" s="1868" t="s">
        <v>294</v>
      </c>
      <c r="G9" s="1868" t="s">
        <v>607</v>
      </c>
      <c r="H9" s="1869" t="s">
        <v>295</v>
      </c>
      <c r="I9" s="1870" t="s">
        <v>296</v>
      </c>
      <c r="J9" s="1869" t="s">
        <v>140</v>
      </c>
      <c r="K9" s="2106" t="s">
        <v>271</v>
      </c>
      <c r="L9" s="1402"/>
      <c r="M9" s="2109" t="s">
        <v>552</v>
      </c>
      <c r="N9" s="2110" t="s">
        <v>76</v>
      </c>
      <c r="O9" s="2157" t="s">
        <v>551</v>
      </c>
      <c r="P9" s="2111"/>
      <c r="Q9" s="2109" t="s">
        <v>552</v>
      </c>
      <c r="R9" s="2158" t="s">
        <v>76</v>
      </c>
      <c r="S9" s="2113" t="s">
        <v>551</v>
      </c>
      <c r="T9" s="2111"/>
      <c r="U9" s="2109" t="s">
        <v>552</v>
      </c>
      <c r="V9" s="2158" t="s">
        <v>76</v>
      </c>
      <c r="W9" s="2113" t="s">
        <v>551</v>
      </c>
      <c r="X9" s="2111"/>
      <c r="Y9" s="2109" t="s">
        <v>552</v>
      </c>
      <c r="Z9" s="2158" t="s">
        <v>76</v>
      </c>
      <c r="AA9" s="2113" t="s">
        <v>551</v>
      </c>
      <c r="AB9" s="1389"/>
      <c r="AC9" s="1890"/>
      <c r="AD9" s="310"/>
      <c r="AE9" s="1886" t="s">
        <v>132</v>
      </c>
      <c r="AF9" s="1869" t="s">
        <v>139</v>
      </c>
      <c r="AG9" s="1868" t="s">
        <v>133</v>
      </c>
      <c r="AH9" s="1868" t="s">
        <v>135</v>
      </c>
      <c r="AI9" s="1868" t="s">
        <v>607</v>
      </c>
      <c r="AJ9" s="1870" t="s">
        <v>131</v>
      </c>
      <c r="AK9" s="1887" t="s">
        <v>317</v>
      </c>
      <c r="AL9" s="1870" t="s">
        <v>194</v>
      </c>
      <c r="AM9" s="1869" t="s">
        <v>140</v>
      </c>
      <c r="AN9" s="1871" t="s">
        <v>141</v>
      </c>
      <c r="AO9" s="1389"/>
      <c r="AP9" s="2109" t="s">
        <v>552</v>
      </c>
      <c r="AQ9" s="2112" t="s">
        <v>76</v>
      </c>
      <c r="AR9" s="2113" t="s">
        <v>551</v>
      </c>
      <c r="AS9" s="2111"/>
      <c r="AT9" s="2109" t="s">
        <v>552</v>
      </c>
      <c r="AU9" s="2112" t="s">
        <v>76</v>
      </c>
      <c r="AV9" s="2113" t="s">
        <v>551</v>
      </c>
      <c r="AW9" s="2111"/>
      <c r="AX9" s="2109" t="s">
        <v>552</v>
      </c>
      <c r="AY9" s="2112" t="s">
        <v>76</v>
      </c>
      <c r="AZ9" s="2113" t="s">
        <v>551</v>
      </c>
      <c r="BA9" s="2111"/>
      <c r="BB9" s="2109" t="s">
        <v>552</v>
      </c>
      <c r="BC9" s="2112" t="s">
        <v>76</v>
      </c>
      <c r="BD9" s="2113" t="s">
        <v>551</v>
      </c>
      <c r="BE9" s="1389"/>
      <c r="BF9" s="1890"/>
      <c r="BG9" s="310"/>
      <c r="BH9" s="1886" t="s">
        <v>132</v>
      </c>
      <c r="BI9" s="1869" t="s">
        <v>139</v>
      </c>
      <c r="BJ9" s="1870" t="s">
        <v>131</v>
      </c>
      <c r="BK9" s="1887" t="s">
        <v>317</v>
      </c>
      <c r="BL9" s="1870" t="s">
        <v>194</v>
      </c>
      <c r="BM9" s="1869" t="s">
        <v>140</v>
      </c>
      <c r="BN9" s="1871" t="s">
        <v>141</v>
      </c>
      <c r="BO9" s="310"/>
      <c r="BP9" s="1886" t="s">
        <v>132</v>
      </c>
      <c r="BQ9" s="1869" t="s">
        <v>139</v>
      </c>
      <c r="BR9" s="1870" t="s">
        <v>131</v>
      </c>
      <c r="BS9" s="1887" t="s">
        <v>317</v>
      </c>
      <c r="BT9" s="1870" t="s">
        <v>194</v>
      </c>
      <c r="BU9" s="1869" t="s">
        <v>140</v>
      </c>
      <c r="BV9" s="1871" t="s">
        <v>141</v>
      </c>
      <c r="BW9" s="310"/>
      <c r="BX9" s="1886" t="s">
        <v>132</v>
      </c>
      <c r="BY9" s="1869" t="s">
        <v>139</v>
      </c>
      <c r="BZ9" s="1870" t="s">
        <v>131</v>
      </c>
      <c r="CA9" s="1887" t="s">
        <v>317</v>
      </c>
      <c r="CB9" s="1870" t="s">
        <v>194</v>
      </c>
      <c r="CC9" s="1869" t="s">
        <v>140</v>
      </c>
      <c r="CD9" s="1871" t="s">
        <v>141</v>
      </c>
      <c r="CE9" s="729"/>
      <c r="CF9" s="729"/>
      <c r="CG9" s="729"/>
      <c r="CH9" s="729"/>
      <c r="CI9" s="729"/>
      <c r="CJ9" s="729"/>
      <c r="CK9" s="729"/>
      <c r="CL9" s="729"/>
      <c r="CM9" s="729"/>
      <c r="CN9" s="729"/>
      <c r="CO9" s="729"/>
      <c r="CP9" s="729"/>
      <c r="CQ9" s="729"/>
      <c r="CR9" s="729"/>
      <c r="CS9" s="729"/>
      <c r="CT9" s="729"/>
      <c r="CU9" s="729"/>
      <c r="CV9" s="729"/>
      <c r="CW9" s="729"/>
      <c r="CX9" s="729"/>
      <c r="CY9" s="729"/>
      <c r="CZ9" s="729"/>
      <c r="DA9" s="729"/>
      <c r="DB9" s="729"/>
      <c r="DC9" s="729"/>
      <c r="DD9" s="729"/>
      <c r="DE9" s="729"/>
      <c r="DF9" s="729"/>
      <c r="DG9" s="729"/>
      <c r="DH9" s="729"/>
      <c r="DI9" s="729"/>
      <c r="DJ9" s="729"/>
      <c r="DK9" s="729"/>
      <c r="DL9" s="729"/>
      <c r="DM9" s="729"/>
      <c r="DN9" s="729"/>
    </row>
    <row r="10" spans="1:118" ht="20.100000000000001" customHeight="1">
      <c r="A10" s="1872" t="s">
        <v>864</v>
      </c>
      <c r="B10" s="2163"/>
      <c r="C10" s="2166"/>
      <c r="D10" s="1572">
        <v>0.15</v>
      </c>
      <c r="E10" s="1573">
        <f>C10*D10</f>
        <v>0</v>
      </c>
      <c r="F10" s="1572">
        <v>0</v>
      </c>
      <c r="G10" s="1573">
        <f>C10*(1-D10-F10)</f>
        <v>0</v>
      </c>
      <c r="H10" s="1893"/>
      <c r="I10" s="788"/>
      <c r="J10" s="1874"/>
      <c r="K10" s="730">
        <f t="shared" ref="K10:K22" si="0">C10+I10+J10</f>
        <v>0</v>
      </c>
      <c r="L10" s="1403"/>
      <c r="M10" s="2114">
        <f>((C10+J10)/4)</f>
        <v>0</v>
      </c>
      <c r="N10" s="2115">
        <f>IF(M10=0,0,($E$10/12)*3)</f>
        <v>0</v>
      </c>
      <c r="O10" s="2116">
        <f>(I10/4)</f>
        <v>0</v>
      </c>
      <c r="P10" s="2117"/>
      <c r="Q10" s="2114">
        <f>((C10+J10)/4)</f>
        <v>0</v>
      </c>
      <c r="R10" s="2115">
        <f>IF(Q10=0,0,($E$10/12)*3)</f>
        <v>0</v>
      </c>
      <c r="S10" s="2116">
        <f>(I10/4)</f>
        <v>0</v>
      </c>
      <c r="T10" s="2117"/>
      <c r="U10" s="2114">
        <f>((C10+J10)/4)</f>
        <v>0</v>
      </c>
      <c r="V10" s="2115">
        <f>IF(U10=0,0,($E$10/12)*3)</f>
        <v>0</v>
      </c>
      <c r="W10" s="2116">
        <f>(I10/4)</f>
        <v>0</v>
      </c>
      <c r="X10" s="2117"/>
      <c r="Y10" s="2114">
        <f>((C10+J10)/4)</f>
        <v>0</v>
      </c>
      <c r="Z10" s="2115">
        <f>IF(Y10=0,0,($E$10/12)*3)</f>
        <v>0</v>
      </c>
      <c r="AA10" s="2116">
        <f>(I10/4)</f>
        <v>0</v>
      </c>
      <c r="AB10" s="731"/>
      <c r="AC10" s="1891"/>
      <c r="AD10" s="731"/>
      <c r="AE10" s="1110"/>
      <c r="AF10" s="732">
        <f>C10*(1+AE10)</f>
        <v>0</v>
      </c>
      <c r="AG10" s="1572">
        <f>D10</f>
        <v>0.15</v>
      </c>
      <c r="AH10" s="1573">
        <f>AF10*AG10</f>
        <v>0</v>
      </c>
      <c r="AI10" s="1573">
        <f>AF10*(1-AG10-F10)</f>
        <v>0</v>
      </c>
      <c r="AJ10" s="733">
        <f>H10</f>
        <v>0</v>
      </c>
      <c r="AK10" s="1881"/>
      <c r="AL10" s="735">
        <f>IF(AJ10&gt;0,AF10*AJ10,(I10+I10*AK10))</f>
        <v>0</v>
      </c>
      <c r="AM10" s="735">
        <f>(J10+J10*AE10)</f>
        <v>0</v>
      </c>
      <c r="AN10" s="730">
        <f>AF10+(AL10)+AM10</f>
        <v>0</v>
      </c>
      <c r="AO10" s="731"/>
      <c r="AP10" s="2114">
        <f>((AF10+AM10)/4)</f>
        <v>0</v>
      </c>
      <c r="AQ10" s="2115">
        <f>IF(AP10=0,0,($AH$10/12)*3)</f>
        <v>0</v>
      </c>
      <c r="AR10" s="2116">
        <f>(AL10/4)</f>
        <v>0</v>
      </c>
      <c r="AS10" s="2117"/>
      <c r="AT10" s="2114">
        <f>((AF10+AM10)/4)</f>
        <v>0</v>
      </c>
      <c r="AU10" s="2115">
        <f>IF(AT10=0,0,($AH$10/12)*3)</f>
        <v>0</v>
      </c>
      <c r="AV10" s="2116">
        <f>(AL10/4)</f>
        <v>0</v>
      </c>
      <c r="AW10" s="2117"/>
      <c r="AX10" s="2114">
        <f>((AF10+AM10)/4)</f>
        <v>0</v>
      </c>
      <c r="AY10" s="2115">
        <f>IF(AX10=0,0,($AH$10/12)*3)</f>
        <v>0</v>
      </c>
      <c r="AZ10" s="2116">
        <f>(AL10/4)</f>
        <v>0</v>
      </c>
      <c r="BA10" s="2117"/>
      <c r="BB10" s="2114">
        <f>((AF10+AM10)/4)</f>
        <v>0</v>
      </c>
      <c r="BC10" s="2115">
        <f>IF(BB10=0,0,($AH$10/12)*3)</f>
        <v>0</v>
      </c>
      <c r="BD10" s="2116">
        <f>(AL10/4)</f>
        <v>0</v>
      </c>
      <c r="BE10" s="731"/>
      <c r="BF10" s="1891"/>
      <c r="BG10" s="731"/>
      <c r="BH10" s="1110"/>
      <c r="BI10" s="732">
        <f>AF10*(1+BH10)</f>
        <v>0</v>
      </c>
      <c r="BJ10" s="733">
        <f>AJ10</f>
        <v>0</v>
      </c>
      <c r="BK10" s="1881">
        <v>0.03</v>
      </c>
      <c r="BL10" s="735">
        <f>IF(BJ10&gt;0,BI10*BJ10,(AL10+AL10*BK10))</f>
        <v>0</v>
      </c>
      <c r="BM10" s="735">
        <f>AM10+AM10*BH10</f>
        <v>0</v>
      </c>
      <c r="BN10" s="736">
        <f>BI10+(BL10)+BM10</f>
        <v>0</v>
      </c>
      <c r="BO10" s="731"/>
      <c r="BP10" s="1110"/>
      <c r="BQ10" s="732">
        <f t="shared" ref="BQ10:BQ22" si="1">BI10*(1+BP10)</f>
        <v>0</v>
      </c>
      <c r="BR10" s="733">
        <f>BJ10</f>
        <v>0</v>
      </c>
      <c r="BS10" s="1881">
        <v>0.03</v>
      </c>
      <c r="BT10" s="735">
        <f>IF(BR10&gt;0,BQ10*BR10,(BL10+BL10*BS10))</f>
        <v>0</v>
      </c>
      <c r="BU10" s="735">
        <f>BM10+BM10*BP10</f>
        <v>0</v>
      </c>
      <c r="BV10" s="736">
        <f>BQ10+(BT10)+BU10</f>
        <v>0</v>
      </c>
      <c r="BW10" s="731"/>
      <c r="BX10" s="1110"/>
      <c r="BY10" s="732">
        <f t="shared" ref="BY10:BY22" si="2">BQ10*(1+BX10)</f>
        <v>0</v>
      </c>
      <c r="BZ10" s="733">
        <f>BR10</f>
        <v>0</v>
      </c>
      <c r="CA10" s="1881">
        <v>0.03</v>
      </c>
      <c r="CB10" s="735">
        <f>IF(BZ10&gt;0,BY10*BZ10,(BT10+BT10*CA10))</f>
        <v>0</v>
      </c>
      <c r="CC10" s="735">
        <f>BU10+BU10*BX10</f>
        <v>0</v>
      </c>
      <c r="CD10" s="736">
        <f>BY10+(CB10)+CC10</f>
        <v>0</v>
      </c>
      <c r="CE10" s="737"/>
      <c r="CF10" s="729"/>
      <c r="CG10" s="729"/>
      <c r="CH10" s="729"/>
      <c r="CI10" s="729"/>
      <c r="CJ10" s="729"/>
      <c r="CK10" s="729"/>
      <c r="CL10" s="729"/>
      <c r="CM10" s="729"/>
      <c r="CN10" s="729"/>
      <c r="CO10" s="729"/>
      <c r="CP10" s="729"/>
      <c r="CQ10" s="729"/>
      <c r="CR10" s="729"/>
      <c r="CS10" s="729"/>
      <c r="CT10" s="729"/>
      <c r="CU10" s="729"/>
      <c r="CV10" s="729"/>
      <c r="CW10" s="729"/>
      <c r="CX10" s="729"/>
      <c r="CY10" s="729"/>
      <c r="CZ10" s="729"/>
      <c r="DA10" s="729"/>
      <c r="DB10" s="729"/>
      <c r="DC10" s="729"/>
      <c r="DD10" s="729"/>
      <c r="DE10" s="729"/>
      <c r="DF10" s="729"/>
      <c r="DG10" s="729"/>
      <c r="DH10" s="729"/>
      <c r="DI10" s="729"/>
      <c r="DJ10" s="729"/>
      <c r="DK10" s="729"/>
      <c r="DL10" s="729"/>
      <c r="DM10" s="729"/>
      <c r="DN10" s="729"/>
    </row>
    <row r="11" spans="1:118" ht="20.100000000000001" customHeight="1">
      <c r="A11" s="1872" t="s">
        <v>865</v>
      </c>
      <c r="B11" s="2163"/>
      <c r="C11" s="2166"/>
      <c r="D11" s="1572">
        <f>D10</f>
        <v>0.15</v>
      </c>
      <c r="E11" s="1573">
        <f>C11*D11</f>
        <v>0</v>
      </c>
      <c r="F11" s="1572">
        <v>0</v>
      </c>
      <c r="G11" s="1573">
        <f>C11*(1-D11-F11)</f>
        <v>0</v>
      </c>
      <c r="H11" s="1894"/>
      <c r="I11" s="788"/>
      <c r="J11" s="1875"/>
      <c r="K11" s="730">
        <f t="shared" si="0"/>
        <v>0</v>
      </c>
      <c r="L11" s="1403"/>
      <c r="M11" s="2118">
        <f>((C11+J11)/4)</f>
        <v>0</v>
      </c>
      <c r="N11" s="2119">
        <f>IF(M11=0,0,($E$11/12)*3)</f>
        <v>0</v>
      </c>
      <c r="O11" s="2120">
        <f>(I11/4)</f>
        <v>0</v>
      </c>
      <c r="P11" s="2117"/>
      <c r="Q11" s="2118">
        <f>((C11+J11)/4)</f>
        <v>0</v>
      </c>
      <c r="R11" s="2119">
        <f>IF(Q11=0,0,($E$11/12)*3)</f>
        <v>0</v>
      </c>
      <c r="S11" s="2120">
        <f>(I11/4)</f>
        <v>0</v>
      </c>
      <c r="T11" s="2117"/>
      <c r="U11" s="2118">
        <f>((C11+J11)/4)</f>
        <v>0</v>
      </c>
      <c r="V11" s="2119">
        <f>IF(U11=0,0,($E$11/12)*3)</f>
        <v>0</v>
      </c>
      <c r="W11" s="2120">
        <f>(I11/4)</f>
        <v>0</v>
      </c>
      <c r="X11" s="2117"/>
      <c r="Y11" s="2118">
        <f>((C11+J11)/4)</f>
        <v>0</v>
      </c>
      <c r="Z11" s="2119">
        <f>IF(Y11=0,0,($E$11/12)*3)</f>
        <v>0</v>
      </c>
      <c r="AA11" s="2120">
        <f>(I11/4)</f>
        <v>0</v>
      </c>
      <c r="AB11" s="731"/>
      <c r="AC11" s="1891"/>
      <c r="AD11" s="731"/>
      <c r="AE11" s="1110"/>
      <c r="AF11" s="732">
        <f>C11*(1+AE11)</f>
        <v>0</v>
      </c>
      <c r="AG11" s="1572">
        <f>D11</f>
        <v>0.15</v>
      </c>
      <c r="AH11" s="1573">
        <f>AF11*AG11</f>
        <v>0</v>
      </c>
      <c r="AI11" s="1573">
        <f>AF11*(1-AG11-F11)</f>
        <v>0</v>
      </c>
      <c r="AJ11" s="734">
        <f>H11</f>
        <v>0</v>
      </c>
      <c r="AK11" s="2108"/>
      <c r="AL11" s="735">
        <f>IF(AJ11&gt;0,AF11*AJ11,(I11+I11*AK11))</f>
        <v>0</v>
      </c>
      <c r="AM11" s="735">
        <f>(J11+J11*AE11)</f>
        <v>0</v>
      </c>
      <c r="AN11" s="730">
        <f t="shared" ref="AN11:AN22" si="3">AF11+(AL11)+AM11</f>
        <v>0</v>
      </c>
      <c r="AO11" s="731"/>
      <c r="AP11" s="2118">
        <f>((AF11+AM11)/4)</f>
        <v>0</v>
      </c>
      <c r="AQ11" s="2119">
        <f>IF(AP11=0,0,($AH$11/12)*3)</f>
        <v>0</v>
      </c>
      <c r="AR11" s="2120">
        <f>(AL11/4)</f>
        <v>0</v>
      </c>
      <c r="AS11" s="2117"/>
      <c r="AT11" s="2118">
        <f>((AF11+AM11)/4)</f>
        <v>0</v>
      </c>
      <c r="AU11" s="2119">
        <f>IF(AT11=0,0,($AH$11/12)*3)</f>
        <v>0</v>
      </c>
      <c r="AV11" s="2120">
        <f>(AL11/4)</f>
        <v>0</v>
      </c>
      <c r="AW11" s="2117"/>
      <c r="AX11" s="2118">
        <f>((AF11+AM11)/4)</f>
        <v>0</v>
      </c>
      <c r="AY11" s="2119">
        <f>IF(AX11=0,0,($AH$11/12)*3)</f>
        <v>0</v>
      </c>
      <c r="AZ11" s="2120">
        <f>(AL11/4)</f>
        <v>0</v>
      </c>
      <c r="BA11" s="2117"/>
      <c r="BB11" s="2118">
        <f>((AF11+AM11)/4)</f>
        <v>0</v>
      </c>
      <c r="BC11" s="2119">
        <f>IF(BB11=0,0,($AH$11/12)*3)</f>
        <v>0</v>
      </c>
      <c r="BD11" s="2120">
        <f>(AL11/4)</f>
        <v>0</v>
      </c>
      <c r="BE11" s="731"/>
      <c r="BF11" s="1891"/>
      <c r="BG11" s="731"/>
      <c r="BH11" s="1110"/>
      <c r="BI11" s="732">
        <f>AF11*(1+BH11)</f>
        <v>0</v>
      </c>
      <c r="BJ11" s="734">
        <f>AJ11</f>
        <v>0</v>
      </c>
      <c r="BK11" s="2108">
        <f>BK10</f>
        <v>0.03</v>
      </c>
      <c r="BL11" s="735">
        <f>IF(BJ11&gt;0,BI11*BJ11,(AL11+AL11*BK11))</f>
        <v>0</v>
      </c>
      <c r="BM11" s="735">
        <f>AM11+AM11*BH11</f>
        <v>0</v>
      </c>
      <c r="BN11" s="736">
        <f t="shared" ref="BN11:BN22" si="4">BI11+(BL11)+BM11</f>
        <v>0</v>
      </c>
      <c r="BO11" s="731"/>
      <c r="BP11" s="1110"/>
      <c r="BQ11" s="732">
        <f t="shared" si="1"/>
        <v>0</v>
      </c>
      <c r="BR11" s="734">
        <f>BJ11</f>
        <v>0</v>
      </c>
      <c r="BS11" s="2108">
        <f>BS10</f>
        <v>0.03</v>
      </c>
      <c r="BT11" s="735">
        <f>IF(BR11&gt;0,BQ11*BR11,(BL11+BL11*BS11))</f>
        <v>0</v>
      </c>
      <c r="BU11" s="735">
        <f t="shared" ref="BU11:BU22" si="5">BM11+BM11*BP11</f>
        <v>0</v>
      </c>
      <c r="BV11" s="736">
        <f t="shared" ref="BV11:BV22" si="6">BQ11+(BT11)+BU11</f>
        <v>0</v>
      </c>
      <c r="BW11" s="731"/>
      <c r="BX11" s="1110"/>
      <c r="BY11" s="732">
        <f t="shared" si="2"/>
        <v>0</v>
      </c>
      <c r="BZ11" s="734">
        <f>BR11</f>
        <v>0</v>
      </c>
      <c r="CA11" s="2108">
        <f>CA10</f>
        <v>0.03</v>
      </c>
      <c r="CB11" s="735">
        <f>IF(BZ11&gt;0,BY11*BZ11,(BT11+BT11*CA11))</f>
        <v>0</v>
      </c>
      <c r="CC11" s="735">
        <f t="shared" ref="CC11:CC22" si="7">BU11+BU11*BX11</f>
        <v>0</v>
      </c>
      <c r="CD11" s="736">
        <f t="shared" ref="CD11:CD22" si="8">BY11+(CB11)+CC11</f>
        <v>0</v>
      </c>
      <c r="CE11" s="737"/>
      <c r="CF11" s="729"/>
      <c r="CG11" s="729"/>
      <c r="CH11" s="729"/>
      <c r="CI11" s="729"/>
      <c r="CJ11" s="729"/>
      <c r="CK11" s="729"/>
      <c r="CL11" s="729"/>
      <c r="CM11" s="729"/>
      <c r="CN11" s="729"/>
      <c r="CO11" s="729"/>
      <c r="CP11" s="729"/>
      <c r="CQ11" s="729"/>
      <c r="CR11" s="729"/>
      <c r="CS11" s="729"/>
      <c r="CT11" s="729"/>
      <c r="CU11" s="729"/>
      <c r="CV11" s="729"/>
      <c r="CW11" s="729"/>
      <c r="CX11" s="729"/>
      <c r="CY11" s="729"/>
      <c r="CZ11" s="729"/>
      <c r="DA11" s="729"/>
      <c r="DB11" s="729"/>
      <c r="DC11" s="729"/>
      <c r="DD11" s="729"/>
      <c r="DE11" s="729"/>
      <c r="DF11" s="729"/>
      <c r="DG11" s="729"/>
      <c r="DH11" s="729"/>
      <c r="DI11" s="729"/>
      <c r="DJ11" s="729"/>
      <c r="DK11" s="729"/>
      <c r="DL11" s="729"/>
      <c r="DM11" s="729"/>
      <c r="DN11" s="729"/>
    </row>
    <row r="12" spans="1:118" ht="20.100000000000001" customHeight="1">
      <c r="A12" s="1872" t="s">
        <v>866</v>
      </c>
      <c r="B12" s="2163"/>
      <c r="C12" s="2166"/>
      <c r="D12" s="1572">
        <f>D10</f>
        <v>0.15</v>
      </c>
      <c r="E12" s="1573">
        <f>C12*D12</f>
        <v>0</v>
      </c>
      <c r="F12" s="1572">
        <v>0</v>
      </c>
      <c r="G12" s="1573">
        <f>C12*(1-D12-F12)</f>
        <v>0</v>
      </c>
      <c r="H12" s="1894"/>
      <c r="I12" s="788"/>
      <c r="J12" s="1875"/>
      <c r="K12" s="730">
        <f t="shared" si="0"/>
        <v>0</v>
      </c>
      <c r="L12" s="1403"/>
      <c r="M12" s="2118">
        <f>((C12+J12)/4)</f>
        <v>0</v>
      </c>
      <c r="N12" s="2119">
        <f>IF(M12=0,0,($E$12/12)*3)</f>
        <v>0</v>
      </c>
      <c r="O12" s="2120">
        <f>(I12/4)</f>
        <v>0</v>
      </c>
      <c r="P12" s="2117"/>
      <c r="Q12" s="2118">
        <f>((C12+J12)/4)</f>
        <v>0</v>
      </c>
      <c r="R12" s="2119">
        <f>IF(Q12=0,0,($E$12/12)*3)</f>
        <v>0</v>
      </c>
      <c r="S12" s="2120">
        <f>(I12/4)</f>
        <v>0</v>
      </c>
      <c r="T12" s="2117"/>
      <c r="U12" s="2118">
        <f>((C12+J12)/4)</f>
        <v>0</v>
      </c>
      <c r="V12" s="2119">
        <f>IF(U12=0,0,($E$12/12)*3)</f>
        <v>0</v>
      </c>
      <c r="W12" s="2120">
        <f>(I12/4)</f>
        <v>0</v>
      </c>
      <c r="X12" s="2117"/>
      <c r="Y12" s="2118">
        <f>((C12+J12)/4)</f>
        <v>0</v>
      </c>
      <c r="Z12" s="2119">
        <f>IF(Y12=0,0,($E$12/12)*3)</f>
        <v>0</v>
      </c>
      <c r="AA12" s="2120">
        <f>(I12/4)</f>
        <v>0</v>
      </c>
      <c r="AB12" s="731"/>
      <c r="AC12" s="1891"/>
      <c r="AD12" s="731"/>
      <c r="AE12" s="1110"/>
      <c r="AF12" s="732">
        <f>C12*(1+AE12)</f>
        <v>0</v>
      </c>
      <c r="AG12" s="1572">
        <f>D12</f>
        <v>0.15</v>
      </c>
      <c r="AH12" s="1573">
        <f>AF12*AG12</f>
        <v>0</v>
      </c>
      <c r="AI12" s="1573">
        <f>AF12*(1-AG12-F12)</f>
        <v>0</v>
      </c>
      <c r="AJ12" s="734">
        <f>H12</f>
        <v>0</v>
      </c>
      <c r="AK12" s="2108"/>
      <c r="AL12" s="735">
        <f>IF(AJ12&gt;0,AF12*AJ12,(I12+I12*AK12))</f>
        <v>0</v>
      </c>
      <c r="AM12" s="735">
        <f>(J12+J12*AE12)</f>
        <v>0</v>
      </c>
      <c r="AN12" s="730">
        <f t="shared" si="3"/>
        <v>0</v>
      </c>
      <c r="AO12" s="731"/>
      <c r="AP12" s="2118">
        <f>((AF12+AM12)/4)</f>
        <v>0</v>
      </c>
      <c r="AQ12" s="2119">
        <f>IF(AP12=0,0,($AH$12/12)*3)</f>
        <v>0</v>
      </c>
      <c r="AR12" s="2120">
        <f>(AL12/4)</f>
        <v>0</v>
      </c>
      <c r="AS12" s="2117"/>
      <c r="AT12" s="2118">
        <f>((AF12+AM12)/4)</f>
        <v>0</v>
      </c>
      <c r="AU12" s="2119">
        <f>IF(AT12=0,0,($AH$12/12)*3)</f>
        <v>0</v>
      </c>
      <c r="AV12" s="2120">
        <f>(AL12/4)</f>
        <v>0</v>
      </c>
      <c r="AW12" s="2117"/>
      <c r="AX12" s="2118">
        <f>((AF12+AM12)/4)</f>
        <v>0</v>
      </c>
      <c r="AY12" s="2119">
        <f>IF(AX12=0,0,($AH$12/12)*3)</f>
        <v>0</v>
      </c>
      <c r="AZ12" s="2120">
        <f>(AL12/4)</f>
        <v>0</v>
      </c>
      <c r="BA12" s="2117"/>
      <c r="BB12" s="2118">
        <f>((AF12+AM12)/4)</f>
        <v>0</v>
      </c>
      <c r="BC12" s="2119">
        <f>IF(BB12=0,0,($AH$12/12)*3)</f>
        <v>0</v>
      </c>
      <c r="BD12" s="2120">
        <f>(AL12/4)</f>
        <v>0</v>
      </c>
      <c r="BE12" s="731"/>
      <c r="BF12" s="1891"/>
      <c r="BG12" s="731"/>
      <c r="BH12" s="1110"/>
      <c r="BI12" s="732">
        <f>AF12*(1+BH12)</f>
        <v>0</v>
      </c>
      <c r="BJ12" s="734">
        <f>AJ12</f>
        <v>0</v>
      </c>
      <c r="BK12" s="2108">
        <f>BK10</f>
        <v>0.03</v>
      </c>
      <c r="BL12" s="735">
        <f>IF(BJ12&gt;0,BI12*BJ12,(AL12+AL12*BK12))</f>
        <v>0</v>
      </c>
      <c r="BM12" s="735">
        <f>AM12+AM12*BH12</f>
        <v>0</v>
      </c>
      <c r="BN12" s="736">
        <f t="shared" si="4"/>
        <v>0</v>
      </c>
      <c r="BO12" s="731"/>
      <c r="BP12" s="1110"/>
      <c r="BQ12" s="732">
        <f t="shared" si="1"/>
        <v>0</v>
      </c>
      <c r="BR12" s="734">
        <f>BJ12</f>
        <v>0</v>
      </c>
      <c r="BS12" s="2108">
        <f>BS10</f>
        <v>0.03</v>
      </c>
      <c r="BT12" s="735">
        <f>IF(BR12&gt;0,BQ12*BR12,(BL12+BL12*BS12))</f>
        <v>0</v>
      </c>
      <c r="BU12" s="735">
        <f t="shared" si="5"/>
        <v>0</v>
      </c>
      <c r="BV12" s="736">
        <f t="shared" si="6"/>
        <v>0</v>
      </c>
      <c r="BW12" s="731"/>
      <c r="BX12" s="1110"/>
      <c r="BY12" s="732">
        <f t="shared" si="2"/>
        <v>0</v>
      </c>
      <c r="BZ12" s="734">
        <f>BR12</f>
        <v>0</v>
      </c>
      <c r="CA12" s="2108">
        <f>CA10</f>
        <v>0.03</v>
      </c>
      <c r="CB12" s="735">
        <f>IF(BZ12&gt;0,BY12*BZ12,(BT12+BT12*CA12))</f>
        <v>0</v>
      </c>
      <c r="CC12" s="735">
        <f t="shared" si="7"/>
        <v>0</v>
      </c>
      <c r="CD12" s="736">
        <f t="shared" si="8"/>
        <v>0</v>
      </c>
      <c r="CE12" s="737"/>
      <c r="CF12" s="729"/>
      <c r="CG12" s="729"/>
      <c r="CH12" s="729"/>
      <c r="CI12" s="729"/>
      <c r="CJ12" s="729"/>
      <c r="CK12" s="729"/>
      <c r="CL12" s="729"/>
      <c r="CM12" s="729"/>
      <c r="CN12" s="729"/>
      <c r="CO12" s="729"/>
      <c r="CP12" s="729"/>
      <c r="CQ12" s="729"/>
      <c r="CR12" s="729"/>
      <c r="CS12" s="729"/>
      <c r="CT12" s="729"/>
      <c r="CU12" s="729"/>
      <c r="CV12" s="729"/>
      <c r="CW12" s="729"/>
      <c r="CX12" s="729"/>
      <c r="CY12" s="729"/>
      <c r="CZ12" s="729"/>
      <c r="DA12" s="729"/>
      <c r="DB12" s="729"/>
      <c r="DC12" s="729"/>
      <c r="DD12" s="729"/>
      <c r="DE12" s="729"/>
      <c r="DF12" s="729"/>
      <c r="DG12" s="729"/>
      <c r="DH12" s="729"/>
      <c r="DI12" s="729"/>
      <c r="DJ12" s="729"/>
      <c r="DK12" s="729"/>
      <c r="DL12" s="729"/>
      <c r="DM12" s="729"/>
      <c r="DN12" s="729"/>
    </row>
    <row r="13" spans="1:118" ht="20.100000000000001" customHeight="1">
      <c r="A13" s="1872" t="s">
        <v>867</v>
      </c>
      <c r="B13" s="2163"/>
      <c r="C13" s="2166"/>
      <c r="D13" s="1572">
        <f>D10</f>
        <v>0.15</v>
      </c>
      <c r="E13" s="1573">
        <f>C13*D13</f>
        <v>0</v>
      </c>
      <c r="F13" s="1572">
        <v>0</v>
      </c>
      <c r="G13" s="1573">
        <f>C13*(1-D13-F13)</f>
        <v>0</v>
      </c>
      <c r="H13" s="1895"/>
      <c r="I13" s="788"/>
      <c r="J13" s="1875"/>
      <c r="K13" s="730">
        <f t="shared" si="0"/>
        <v>0</v>
      </c>
      <c r="L13" s="1403"/>
      <c r="M13" s="2114">
        <f>((C13+J13)/4)</f>
        <v>0</v>
      </c>
      <c r="N13" s="2115">
        <f>IF(M13=0,0,($E$13/12)*3)</f>
        <v>0</v>
      </c>
      <c r="O13" s="2116">
        <f>(I13/4)</f>
        <v>0</v>
      </c>
      <c r="P13" s="2117"/>
      <c r="Q13" s="2114">
        <f>((C13+J13)/4)</f>
        <v>0</v>
      </c>
      <c r="R13" s="2115">
        <f>IF(Q13=0,0,($E$13/12)*3)</f>
        <v>0</v>
      </c>
      <c r="S13" s="2120">
        <f>(I13/4)</f>
        <v>0</v>
      </c>
      <c r="T13" s="2117"/>
      <c r="U13" s="2118">
        <f>((C13+J13)/4)</f>
        <v>0</v>
      </c>
      <c r="V13" s="2115">
        <f>IF(U13=0,0,($E$13/12)*3)</f>
        <v>0</v>
      </c>
      <c r="W13" s="2120">
        <f>(I13/4)</f>
        <v>0</v>
      </c>
      <c r="X13" s="2117"/>
      <c r="Y13" s="2118">
        <f>((C13+J13)/4)</f>
        <v>0</v>
      </c>
      <c r="Z13" s="2115">
        <f>IF(Y13=0,0,($E$13/12)*3)</f>
        <v>0</v>
      </c>
      <c r="AA13" s="2120">
        <f>(I13/4)</f>
        <v>0</v>
      </c>
      <c r="AB13" s="731"/>
      <c r="AC13" s="1891"/>
      <c r="AD13" s="731"/>
      <c r="AE13" s="1110"/>
      <c r="AF13" s="732">
        <f>C13*(1+AE13)</f>
        <v>0</v>
      </c>
      <c r="AG13" s="1572">
        <f>D13</f>
        <v>0.15</v>
      </c>
      <c r="AH13" s="1573">
        <f>AF13*AG13</f>
        <v>0</v>
      </c>
      <c r="AI13" s="1573">
        <f>AF13*(1-AG13-F13)</f>
        <v>0</v>
      </c>
      <c r="AJ13" s="734">
        <f>H13</f>
        <v>0</v>
      </c>
      <c r="AK13" s="2108"/>
      <c r="AL13" s="735">
        <f>IF(AJ13&gt;0,AF13*AJ13,(I13+I13*AK13))</f>
        <v>0</v>
      </c>
      <c r="AM13" s="735">
        <f>(J13+J13*AE13)</f>
        <v>0</v>
      </c>
      <c r="AN13" s="730">
        <f t="shared" si="3"/>
        <v>0</v>
      </c>
      <c r="AO13" s="731"/>
      <c r="AP13" s="2118">
        <f>((AF13+AM13)/4)</f>
        <v>0</v>
      </c>
      <c r="AQ13" s="2115">
        <f>IF(AP13=0,0,($AH$13/12)*3)</f>
        <v>0</v>
      </c>
      <c r="AR13" s="2120">
        <f>(AL13/4)</f>
        <v>0</v>
      </c>
      <c r="AS13" s="2117"/>
      <c r="AT13" s="2118">
        <f>((AF13+AM13)/4)</f>
        <v>0</v>
      </c>
      <c r="AU13" s="2115">
        <f>IF(AT13=0,0,($AH$13/12)*3)</f>
        <v>0</v>
      </c>
      <c r="AV13" s="2120">
        <f>(AL13/4)</f>
        <v>0</v>
      </c>
      <c r="AW13" s="2117"/>
      <c r="AX13" s="2118">
        <f>((AF13+AM13)/4)</f>
        <v>0</v>
      </c>
      <c r="AY13" s="2115">
        <f>IF(AX13=0,0,($AH$13/12)*3)</f>
        <v>0</v>
      </c>
      <c r="AZ13" s="2120">
        <f>(AL13/4)</f>
        <v>0</v>
      </c>
      <c r="BA13" s="2117"/>
      <c r="BB13" s="2118">
        <f>((AF13+AM13)/4)</f>
        <v>0</v>
      </c>
      <c r="BC13" s="2115">
        <f>IF(BB13=0,0,($AH$13/12)*3)</f>
        <v>0</v>
      </c>
      <c r="BD13" s="2120">
        <f>(AL13/4)</f>
        <v>0</v>
      </c>
      <c r="BE13" s="731"/>
      <c r="BF13" s="1891"/>
      <c r="BG13" s="731"/>
      <c r="BH13" s="1110"/>
      <c r="BI13" s="732">
        <f>AF13*(1+BH13)</f>
        <v>0</v>
      </c>
      <c r="BJ13" s="734">
        <f>AJ13</f>
        <v>0</v>
      </c>
      <c r="BK13" s="2108">
        <f>BK10</f>
        <v>0.03</v>
      </c>
      <c r="BL13" s="735">
        <f>IF(BJ13&gt;0,BI13*BJ13,(AL13+AL13*BK13))</f>
        <v>0</v>
      </c>
      <c r="BM13" s="735">
        <f>AM13+AM13*BH13</f>
        <v>0</v>
      </c>
      <c r="BN13" s="736">
        <f t="shared" si="4"/>
        <v>0</v>
      </c>
      <c r="BO13" s="731"/>
      <c r="BP13" s="1110"/>
      <c r="BQ13" s="732">
        <f t="shared" si="1"/>
        <v>0</v>
      </c>
      <c r="BR13" s="734">
        <f>BJ13</f>
        <v>0</v>
      </c>
      <c r="BS13" s="2108">
        <f>BS10</f>
        <v>0.03</v>
      </c>
      <c r="BT13" s="735">
        <f>IF(BR13&gt;0,BQ13*BR13,(BL13+BL13*BS13))</f>
        <v>0</v>
      </c>
      <c r="BU13" s="735">
        <f t="shared" si="5"/>
        <v>0</v>
      </c>
      <c r="BV13" s="736">
        <f t="shared" si="6"/>
        <v>0</v>
      </c>
      <c r="BW13" s="731"/>
      <c r="BX13" s="1110"/>
      <c r="BY13" s="732">
        <f t="shared" si="2"/>
        <v>0</v>
      </c>
      <c r="BZ13" s="734">
        <f>BR13</f>
        <v>0</v>
      </c>
      <c r="CA13" s="2108">
        <f>CA10</f>
        <v>0.03</v>
      </c>
      <c r="CB13" s="735">
        <f>IF(BZ13&gt;0,BY13*BZ13,(BT13+BT13*CA13))</f>
        <v>0</v>
      </c>
      <c r="CC13" s="735">
        <f t="shared" si="7"/>
        <v>0</v>
      </c>
      <c r="CD13" s="736">
        <f t="shared" si="8"/>
        <v>0</v>
      </c>
      <c r="CE13" s="737"/>
      <c r="CF13" s="729"/>
      <c r="CG13" s="729"/>
      <c r="CH13" s="729"/>
      <c r="CI13" s="729"/>
      <c r="CJ13" s="729"/>
      <c r="CK13" s="729"/>
      <c r="CL13" s="729"/>
      <c r="CM13" s="729"/>
      <c r="CN13" s="729"/>
      <c r="CO13" s="729"/>
      <c r="CP13" s="729"/>
      <c r="CQ13" s="729"/>
      <c r="CR13" s="729"/>
      <c r="CS13" s="729"/>
      <c r="CT13" s="729"/>
      <c r="CU13" s="729"/>
      <c r="CV13" s="729"/>
      <c r="CW13" s="729"/>
      <c r="CX13" s="729"/>
      <c r="CY13" s="729"/>
      <c r="CZ13" s="729"/>
      <c r="DA13" s="729"/>
      <c r="DB13" s="729"/>
      <c r="DC13" s="729"/>
      <c r="DD13" s="729"/>
      <c r="DE13" s="729"/>
      <c r="DF13" s="729"/>
      <c r="DG13" s="729"/>
      <c r="DH13" s="729"/>
      <c r="DI13" s="729"/>
      <c r="DJ13" s="729"/>
      <c r="DK13" s="729"/>
      <c r="DL13" s="729"/>
      <c r="DM13" s="729"/>
      <c r="DN13" s="729"/>
    </row>
    <row r="14" spans="1:118" ht="20.100000000000001" customHeight="1" thickBot="1">
      <c r="A14" s="1896" t="s">
        <v>297</v>
      </c>
      <c r="B14" s="2164"/>
      <c r="C14" s="2167">
        <f>SUM(C10:C13)</f>
        <v>0</v>
      </c>
      <c r="D14" s="1898"/>
      <c r="E14" s="1899">
        <f>SUM(E10:E13)</f>
        <v>0</v>
      </c>
      <c r="F14" s="1898"/>
      <c r="G14" s="1899">
        <f>SUM(G10:G13)</f>
        <v>0</v>
      </c>
      <c r="H14" s="1900"/>
      <c r="I14" s="1897">
        <f>SUM(I10:I13)</f>
        <v>0</v>
      </c>
      <c r="J14" s="1897">
        <f>SUM(J10:J13)</f>
        <v>0</v>
      </c>
      <c r="K14" s="1901">
        <f>SUM(K10:K13)</f>
        <v>0</v>
      </c>
      <c r="L14" s="1404"/>
      <c r="M14" s="2121">
        <f>SUM(M10:M13)</f>
        <v>0</v>
      </c>
      <c r="N14" s="2122">
        <f>SUM(N10:N13)</f>
        <v>0</v>
      </c>
      <c r="O14" s="2123">
        <f>SUM(O10:O13)</f>
        <v>0</v>
      </c>
      <c r="P14" s="2124"/>
      <c r="Q14" s="2121">
        <f>SUM(Q10:Q13)</f>
        <v>0</v>
      </c>
      <c r="R14" s="2122">
        <f>SUM(R10:R13)</f>
        <v>0</v>
      </c>
      <c r="S14" s="2123">
        <f>SUM(S10:S13)</f>
        <v>0</v>
      </c>
      <c r="T14" s="2124"/>
      <c r="U14" s="2121">
        <f>SUM(U10:U13)</f>
        <v>0</v>
      </c>
      <c r="V14" s="2122">
        <f>SUM(V10:V13)</f>
        <v>0</v>
      </c>
      <c r="W14" s="2123">
        <f>SUM(W10:W13)</f>
        <v>0</v>
      </c>
      <c r="X14" s="2124"/>
      <c r="Y14" s="2121">
        <f>SUM(Y10:Y13)</f>
        <v>0</v>
      </c>
      <c r="Z14" s="2122">
        <f>SUM(Z10:Z13)</f>
        <v>0</v>
      </c>
      <c r="AA14" s="2123">
        <f>SUM(AA10:AA13)</f>
        <v>0</v>
      </c>
      <c r="AB14" s="738"/>
      <c r="AC14" s="1892"/>
      <c r="AD14" s="738"/>
      <c r="AE14" s="1911"/>
      <c r="AF14" s="1897">
        <f>SUM(AF10:AF13)</f>
        <v>0</v>
      </c>
      <c r="AG14" s="1898"/>
      <c r="AH14" s="1899">
        <f>SUM(AH10:AH13)</f>
        <v>0</v>
      </c>
      <c r="AI14" s="1899">
        <f>SUM(AI10:AI13)</f>
        <v>0</v>
      </c>
      <c r="AJ14" s="1900"/>
      <c r="AK14" s="1912"/>
      <c r="AL14" s="1913">
        <f>SUM(AL10:AL13)</f>
        <v>0</v>
      </c>
      <c r="AM14" s="1913">
        <f>SUM(AM10:AM13)</f>
        <v>0</v>
      </c>
      <c r="AN14" s="1901">
        <f>SUM(AN10:AN13)</f>
        <v>0</v>
      </c>
      <c r="AO14" s="738"/>
      <c r="AP14" s="2121">
        <f>SUM(AP10:AP13)</f>
        <v>0</v>
      </c>
      <c r="AQ14" s="2122">
        <f>SUM(AQ10:AQ13)</f>
        <v>0</v>
      </c>
      <c r="AR14" s="2123">
        <f>SUM(AR10:AR13)</f>
        <v>0</v>
      </c>
      <c r="AS14" s="2124"/>
      <c r="AT14" s="2121">
        <f>SUM(AT10:AT13)</f>
        <v>0</v>
      </c>
      <c r="AU14" s="2122">
        <f>SUM(AU10:AU13)</f>
        <v>0</v>
      </c>
      <c r="AV14" s="2123">
        <f>SUM(AV10:AV13)</f>
        <v>0</v>
      </c>
      <c r="AW14" s="2124"/>
      <c r="AX14" s="2121">
        <f>SUM(AX10:AX13)</f>
        <v>0</v>
      </c>
      <c r="AY14" s="2122">
        <f>SUM(AY10:AY13)</f>
        <v>0</v>
      </c>
      <c r="AZ14" s="2123">
        <f>SUM(AZ10:AZ13)</f>
        <v>0</v>
      </c>
      <c r="BA14" s="2124"/>
      <c r="BB14" s="2121">
        <f>SUM(BB10:BB13)</f>
        <v>0</v>
      </c>
      <c r="BC14" s="2122">
        <f>SUM(BC10:BC13)</f>
        <v>0</v>
      </c>
      <c r="BD14" s="2123">
        <f>SUM(BD10:BD13)</f>
        <v>0</v>
      </c>
      <c r="BE14" s="738"/>
      <c r="BF14" s="1892"/>
      <c r="BG14" s="738"/>
      <c r="BH14" s="1911"/>
      <c r="BI14" s="1897">
        <f>SUM(BI10:BI13)</f>
        <v>0</v>
      </c>
      <c r="BJ14" s="1900"/>
      <c r="BK14" s="1912"/>
      <c r="BL14" s="1913">
        <f>SUM(BL10:BL13)</f>
        <v>0</v>
      </c>
      <c r="BM14" s="1913">
        <f>SUM(BM10:BM13)</f>
        <v>0</v>
      </c>
      <c r="BN14" s="1901">
        <f>SUM(BN10:BN13)</f>
        <v>0</v>
      </c>
      <c r="BO14" s="738"/>
      <c r="BP14" s="1911"/>
      <c r="BQ14" s="1897">
        <f>SUM(BQ10:BQ13)</f>
        <v>0</v>
      </c>
      <c r="BR14" s="1900"/>
      <c r="BS14" s="1912"/>
      <c r="BT14" s="1913">
        <f>SUM(BT10:BT13)</f>
        <v>0</v>
      </c>
      <c r="BU14" s="1913">
        <f>SUM(BU10:BU13)</f>
        <v>0</v>
      </c>
      <c r="BV14" s="1901">
        <f>SUM(BV10:BV13)</f>
        <v>0</v>
      </c>
      <c r="BW14" s="738"/>
      <c r="BX14" s="1911"/>
      <c r="BY14" s="1897">
        <f>SUM(BY10:BY13)</f>
        <v>0</v>
      </c>
      <c r="BZ14" s="1900"/>
      <c r="CA14" s="1912"/>
      <c r="CB14" s="1913">
        <f>SUM(CB10:CB13)</f>
        <v>0</v>
      </c>
      <c r="CC14" s="1913">
        <f>SUM(CC10:CC13)</f>
        <v>0</v>
      </c>
      <c r="CD14" s="1901">
        <f>SUM(CD10:CD13)</f>
        <v>0</v>
      </c>
      <c r="CE14" s="737"/>
      <c r="CF14" s="729"/>
      <c r="CG14" s="729"/>
      <c r="CH14" s="729"/>
      <c r="CI14" s="729"/>
      <c r="CJ14" s="729"/>
      <c r="CK14" s="729"/>
      <c r="CL14" s="729"/>
      <c r="CM14" s="729"/>
      <c r="CN14" s="729"/>
      <c r="CO14" s="729"/>
      <c r="CP14" s="729"/>
      <c r="CQ14" s="729"/>
      <c r="CR14" s="729"/>
      <c r="CS14" s="729"/>
      <c r="CT14" s="729"/>
      <c r="CU14" s="729"/>
      <c r="CV14" s="729"/>
      <c r="CW14" s="729"/>
      <c r="CX14" s="729"/>
      <c r="CY14" s="729"/>
      <c r="CZ14" s="729"/>
      <c r="DA14" s="729"/>
      <c r="DB14" s="729"/>
      <c r="DC14" s="729"/>
      <c r="DD14" s="729"/>
      <c r="DE14" s="729"/>
      <c r="DF14" s="729"/>
      <c r="DG14" s="729"/>
      <c r="DH14" s="729"/>
      <c r="DI14" s="729"/>
      <c r="DJ14" s="729"/>
      <c r="DK14" s="729"/>
      <c r="DL14" s="729"/>
      <c r="DM14" s="729"/>
      <c r="DN14" s="729"/>
    </row>
    <row r="15" spans="1:118" ht="20.100000000000001" customHeight="1">
      <c r="A15" s="1876" t="s">
        <v>868</v>
      </c>
      <c r="B15" s="2163"/>
      <c r="C15" s="2166"/>
      <c r="D15" s="1877">
        <v>0.1</v>
      </c>
      <c r="E15" s="1878">
        <f>C15*D15</f>
        <v>0</v>
      </c>
      <c r="F15" s="1877">
        <v>6.4000000000000001E-2</v>
      </c>
      <c r="G15" s="1878">
        <f>C15*(1-D15-F15)</f>
        <v>0</v>
      </c>
      <c r="H15" s="1879">
        <v>0.32</v>
      </c>
      <c r="I15" s="739">
        <f t="shared" ref="I15:I22" si="9">C15*H15</f>
        <v>0</v>
      </c>
      <c r="J15" s="1873"/>
      <c r="K15" s="730">
        <f t="shared" si="0"/>
        <v>0</v>
      </c>
      <c r="L15" s="1403"/>
      <c r="M15" s="2114">
        <f>((C15+J15)/4)</f>
        <v>0</v>
      </c>
      <c r="N15" s="2115">
        <f>IF(M15=0,0,($E$15/12)*3)</f>
        <v>0</v>
      </c>
      <c r="O15" s="2116">
        <f>(I15/4)</f>
        <v>0</v>
      </c>
      <c r="P15" s="2117"/>
      <c r="Q15" s="2114">
        <f t="shared" ref="Q15:Q22" si="10">((C15+J15)/4)</f>
        <v>0</v>
      </c>
      <c r="R15" s="2115">
        <f>IF(Q15=0,0,($E$15/12)*3)</f>
        <v>0</v>
      </c>
      <c r="S15" s="2116">
        <f t="shared" ref="S15:S22" si="11">(I15/4)</f>
        <v>0</v>
      </c>
      <c r="T15" s="2117"/>
      <c r="U15" s="2114">
        <f t="shared" ref="U15:U22" si="12">((C15+J15)/4)</f>
        <v>0</v>
      </c>
      <c r="V15" s="2115">
        <f>IF(U15=0,0,($E$15/12)*3)</f>
        <v>0</v>
      </c>
      <c r="W15" s="2116">
        <f t="shared" ref="W15:W22" si="13">(I15/4)</f>
        <v>0</v>
      </c>
      <c r="X15" s="2117"/>
      <c r="Y15" s="2114">
        <f t="shared" ref="Y15:Y22" si="14">((C15+J15)/4)</f>
        <v>0</v>
      </c>
      <c r="Z15" s="2115">
        <f>IF(Y15=0,0,($E$15/12)*3)</f>
        <v>0</v>
      </c>
      <c r="AA15" s="2116">
        <f t="shared" ref="AA15:AA22" si="15">(I15/4)</f>
        <v>0</v>
      </c>
      <c r="AB15" s="731"/>
      <c r="AC15" s="1891"/>
      <c r="AD15" s="731"/>
      <c r="AE15" s="1111"/>
      <c r="AF15" s="732">
        <f t="shared" ref="AF15:AF22" si="16">C15*(1+AE15)</f>
        <v>0</v>
      </c>
      <c r="AG15" s="1572">
        <f>D15</f>
        <v>0.1</v>
      </c>
      <c r="AH15" s="1573">
        <f>AF15*AG15</f>
        <v>0</v>
      </c>
      <c r="AI15" s="1573">
        <f>AF15*(1-AG15-F15)</f>
        <v>0</v>
      </c>
      <c r="AJ15" s="740">
        <f t="shared" ref="AJ15:AJ22" si="17">H15</f>
        <v>0.32</v>
      </c>
      <c r="AK15" s="1879"/>
      <c r="AL15" s="741">
        <f>IF(AF15=0,0,(AF15*AJ15+AF15*AK15))</f>
        <v>0</v>
      </c>
      <c r="AM15" s="735">
        <f t="shared" ref="AM15:AM22" si="18">(J15+J15*AE15)</f>
        <v>0</v>
      </c>
      <c r="AN15" s="730">
        <f t="shared" si="3"/>
        <v>0</v>
      </c>
      <c r="AO15" s="731"/>
      <c r="AP15" s="2114">
        <f>((AF15+AM15)/4)</f>
        <v>0</v>
      </c>
      <c r="AQ15" s="2115">
        <f>IF(AP15=0,0,($AH$15/12)*3)</f>
        <v>0</v>
      </c>
      <c r="AR15" s="2116">
        <f>(AL15/4)</f>
        <v>0</v>
      </c>
      <c r="AS15" s="2117"/>
      <c r="AT15" s="2114">
        <f>((AF15+AM15)/4)</f>
        <v>0</v>
      </c>
      <c r="AU15" s="2115">
        <f>IF(AT15=0,0,($AH$15/12)*3)</f>
        <v>0</v>
      </c>
      <c r="AV15" s="2116">
        <f>(AL15/4)</f>
        <v>0</v>
      </c>
      <c r="AW15" s="2117"/>
      <c r="AX15" s="2114">
        <f>((AF15+AM15)/4)</f>
        <v>0</v>
      </c>
      <c r="AY15" s="2115">
        <f>IF(AX15=0,0,($AH$15/12)*3)</f>
        <v>0</v>
      </c>
      <c r="AZ15" s="2116">
        <f>(AL15/4)</f>
        <v>0</v>
      </c>
      <c r="BA15" s="2117"/>
      <c r="BB15" s="2114">
        <f>((AF15+AM15)/4)</f>
        <v>0</v>
      </c>
      <c r="BC15" s="2115">
        <f>IF(BB15=0,0,($AH$15/12)*3)</f>
        <v>0</v>
      </c>
      <c r="BD15" s="2116">
        <f>(AL15/4)</f>
        <v>0</v>
      </c>
      <c r="BE15" s="731"/>
      <c r="BF15" s="1891"/>
      <c r="BG15" s="731"/>
      <c r="BH15" s="1111"/>
      <c r="BI15" s="732">
        <f t="shared" ref="BI15:BI22" si="19">AF15*(1+BH15)</f>
        <v>0</v>
      </c>
      <c r="BJ15" s="740">
        <f t="shared" ref="BJ15:BJ22" si="20">AJ15</f>
        <v>0.32</v>
      </c>
      <c r="BK15" s="1879">
        <v>0</v>
      </c>
      <c r="BL15" s="741">
        <f>IF(BI15=0,0,(BI15*BJ15+BI15*BK15))</f>
        <v>0</v>
      </c>
      <c r="BM15" s="735">
        <f t="shared" ref="BM15:BM22" si="21">AM15+AM15*BH15</f>
        <v>0</v>
      </c>
      <c r="BN15" s="736">
        <f t="shared" si="4"/>
        <v>0</v>
      </c>
      <c r="BO15" s="731"/>
      <c r="BP15" s="1111"/>
      <c r="BQ15" s="732">
        <f t="shared" si="1"/>
        <v>0</v>
      </c>
      <c r="BR15" s="740">
        <f>BJ15</f>
        <v>0.32</v>
      </c>
      <c r="BS15" s="1879">
        <v>0</v>
      </c>
      <c r="BT15" s="741">
        <f>IF(BQ15=0,0,(BQ15*BR15+BQ15*BS15))</f>
        <v>0</v>
      </c>
      <c r="BU15" s="735">
        <f t="shared" si="5"/>
        <v>0</v>
      </c>
      <c r="BV15" s="736">
        <f t="shared" si="6"/>
        <v>0</v>
      </c>
      <c r="BW15" s="731"/>
      <c r="BX15" s="1111"/>
      <c r="BY15" s="732">
        <f t="shared" si="2"/>
        <v>0</v>
      </c>
      <c r="BZ15" s="740">
        <f>BR15</f>
        <v>0.32</v>
      </c>
      <c r="CA15" s="1879">
        <v>0</v>
      </c>
      <c r="CB15" s="741">
        <f>IF(BY15=0,0,(BY15*BZ15+BY15*CA15))</f>
        <v>0</v>
      </c>
      <c r="CC15" s="735">
        <f t="shared" si="7"/>
        <v>0</v>
      </c>
      <c r="CD15" s="736">
        <f t="shared" si="8"/>
        <v>0</v>
      </c>
      <c r="CE15" s="729"/>
      <c r="CF15" s="729"/>
      <c r="CG15" s="729"/>
      <c r="CH15" s="729"/>
      <c r="CI15" s="729"/>
      <c r="CJ15" s="729"/>
      <c r="CK15" s="729"/>
      <c r="CL15" s="729"/>
      <c r="CM15" s="729"/>
      <c r="CN15" s="729"/>
      <c r="CO15" s="729"/>
      <c r="CP15" s="729"/>
      <c r="CQ15" s="729"/>
      <c r="CR15" s="729"/>
      <c r="CS15" s="729"/>
      <c r="CT15" s="729"/>
      <c r="CU15" s="729"/>
      <c r="CV15" s="729"/>
      <c r="CW15" s="729"/>
      <c r="CX15" s="729"/>
      <c r="CY15" s="729"/>
      <c r="CZ15" s="729"/>
      <c r="DA15" s="729"/>
      <c r="DB15" s="729"/>
      <c r="DC15" s="729"/>
      <c r="DD15" s="729"/>
      <c r="DE15" s="729"/>
      <c r="DF15" s="729"/>
      <c r="DG15" s="729"/>
      <c r="DH15" s="729"/>
      <c r="DI15" s="729"/>
      <c r="DJ15" s="729"/>
      <c r="DK15" s="729"/>
      <c r="DL15" s="729"/>
      <c r="DM15" s="729"/>
      <c r="DN15" s="729"/>
    </row>
    <row r="16" spans="1:118" ht="20.100000000000001" customHeight="1">
      <c r="A16" s="1880" t="s">
        <v>869</v>
      </c>
      <c r="B16" s="2163"/>
      <c r="C16" s="2166"/>
      <c r="D16" s="1877">
        <f>D15</f>
        <v>0.1</v>
      </c>
      <c r="E16" s="1878">
        <f>C16*D16</f>
        <v>0</v>
      </c>
      <c r="F16" s="1877">
        <f t="shared" ref="F16:F22" si="22">F15</f>
        <v>6.4000000000000001E-2</v>
      </c>
      <c r="G16" s="1878">
        <f>C16*(1-D16-F16)</f>
        <v>0</v>
      </c>
      <c r="H16" s="1881">
        <v>0.32</v>
      </c>
      <c r="I16" s="742">
        <f t="shared" si="9"/>
        <v>0</v>
      </c>
      <c r="J16" s="1875"/>
      <c r="K16" s="730">
        <f t="shared" si="0"/>
        <v>0</v>
      </c>
      <c r="L16" s="1403"/>
      <c r="M16" s="2118">
        <f t="shared" ref="M16:M22" si="23">((C16+J16)/4)</f>
        <v>0</v>
      </c>
      <c r="N16" s="2119">
        <f>IF(M16=0,0,($E$16/12)*3)</f>
        <v>0</v>
      </c>
      <c r="O16" s="2120">
        <f t="shared" ref="O16:O22" si="24">(I16/4)</f>
        <v>0</v>
      </c>
      <c r="P16" s="2117"/>
      <c r="Q16" s="2118">
        <f t="shared" si="10"/>
        <v>0</v>
      </c>
      <c r="R16" s="2119">
        <f>IF(Q16=0,0,($E$16/12)*3)</f>
        <v>0</v>
      </c>
      <c r="S16" s="2120">
        <f t="shared" si="11"/>
        <v>0</v>
      </c>
      <c r="T16" s="2117"/>
      <c r="U16" s="2118">
        <f t="shared" si="12"/>
        <v>0</v>
      </c>
      <c r="V16" s="2119">
        <f>IF(U16=0,0,($E$16/12)*3)</f>
        <v>0</v>
      </c>
      <c r="W16" s="2120">
        <f t="shared" si="13"/>
        <v>0</v>
      </c>
      <c r="X16" s="2117"/>
      <c r="Y16" s="2118">
        <f t="shared" si="14"/>
        <v>0</v>
      </c>
      <c r="Z16" s="2119">
        <f>IF(Y16=0,0,($E$16/12)*3)</f>
        <v>0</v>
      </c>
      <c r="AA16" s="2120">
        <f t="shared" si="15"/>
        <v>0</v>
      </c>
      <c r="AB16" s="731"/>
      <c r="AC16" s="1891"/>
      <c r="AD16" s="731"/>
      <c r="AE16" s="1110"/>
      <c r="AF16" s="732">
        <f t="shared" si="16"/>
        <v>0</v>
      </c>
      <c r="AG16" s="1572">
        <f t="shared" ref="AG16:AG22" si="25">D16</f>
        <v>0.1</v>
      </c>
      <c r="AH16" s="1573">
        <f>AF16*AG16</f>
        <v>0</v>
      </c>
      <c r="AI16" s="1573">
        <f t="shared" ref="AI16:AI22" si="26">AF16*(1-AG16-F16)</f>
        <v>0</v>
      </c>
      <c r="AJ16" s="734">
        <f t="shared" si="17"/>
        <v>0.32</v>
      </c>
      <c r="AK16" s="2108"/>
      <c r="AL16" s="741">
        <f t="shared" ref="AL16:AL22" si="27">IF(AF16=0,0,(AF16*AJ16+AF16*AK16))</f>
        <v>0</v>
      </c>
      <c r="AM16" s="735">
        <f t="shared" si="18"/>
        <v>0</v>
      </c>
      <c r="AN16" s="730">
        <f t="shared" si="3"/>
        <v>0</v>
      </c>
      <c r="AO16" s="731"/>
      <c r="AP16" s="2118">
        <f>((AF16+AM16)/4)</f>
        <v>0</v>
      </c>
      <c r="AQ16" s="2119">
        <f t="shared" ref="AQ16:AQ22" si="28">IF(AP16=0,0,($AH$16/12)*3)</f>
        <v>0</v>
      </c>
      <c r="AR16" s="2120">
        <f>(AL16/4)</f>
        <v>0</v>
      </c>
      <c r="AS16" s="2117"/>
      <c r="AT16" s="2118">
        <f>((AF16+AM16)/4)</f>
        <v>0</v>
      </c>
      <c r="AU16" s="2119">
        <f t="shared" ref="AU16:AU22" si="29">IF(AT16=0,0,($AH$16/12)*3)</f>
        <v>0</v>
      </c>
      <c r="AV16" s="2120">
        <f>(AL16/4)</f>
        <v>0</v>
      </c>
      <c r="AW16" s="2117"/>
      <c r="AX16" s="2118">
        <f>((AF16+AM16)/4)</f>
        <v>0</v>
      </c>
      <c r="AY16" s="2119">
        <f t="shared" ref="AY16:AY22" si="30">IF(AX16=0,0,($AH$16/12)*3)</f>
        <v>0</v>
      </c>
      <c r="AZ16" s="2120">
        <f>(AL16/4)</f>
        <v>0</v>
      </c>
      <c r="BA16" s="2117"/>
      <c r="BB16" s="2118">
        <f>((AF16+AM16)/4)</f>
        <v>0</v>
      </c>
      <c r="BC16" s="2119">
        <f t="shared" ref="BC16:BC22" si="31">IF(BB16=0,0,($AH$16/12)*3)</f>
        <v>0</v>
      </c>
      <c r="BD16" s="2120">
        <f>(AL16/4)</f>
        <v>0</v>
      </c>
      <c r="BE16" s="731"/>
      <c r="BF16" s="1891"/>
      <c r="BG16" s="731"/>
      <c r="BH16" s="1110"/>
      <c r="BI16" s="732">
        <f t="shared" si="19"/>
        <v>0</v>
      </c>
      <c r="BJ16" s="734">
        <f t="shared" si="20"/>
        <v>0.32</v>
      </c>
      <c r="BK16" s="2108">
        <f>BK15</f>
        <v>0</v>
      </c>
      <c r="BL16" s="741">
        <f t="shared" ref="BL16:BL22" si="32">IF(BI16=0,0,(BI16*BJ16+BI16*BK16))</f>
        <v>0</v>
      </c>
      <c r="BM16" s="735">
        <f t="shared" si="21"/>
        <v>0</v>
      </c>
      <c r="BN16" s="736">
        <f t="shared" si="4"/>
        <v>0</v>
      </c>
      <c r="BO16" s="731"/>
      <c r="BP16" s="1110"/>
      <c r="BQ16" s="732">
        <f>BI16*(1+BP16)</f>
        <v>0</v>
      </c>
      <c r="BR16" s="734">
        <f t="shared" ref="BR16:BR22" si="33">BJ16</f>
        <v>0.32</v>
      </c>
      <c r="BS16" s="2108">
        <f>BS15</f>
        <v>0</v>
      </c>
      <c r="BT16" s="741">
        <f t="shared" ref="BT16:BT22" si="34">IF(BQ16=0,0,(BQ16*BR16+BQ16*BS16))</f>
        <v>0</v>
      </c>
      <c r="BU16" s="735">
        <f t="shared" si="5"/>
        <v>0</v>
      </c>
      <c r="BV16" s="736">
        <f t="shared" si="6"/>
        <v>0</v>
      </c>
      <c r="BW16" s="731"/>
      <c r="BX16" s="1110"/>
      <c r="BY16" s="732">
        <f t="shared" si="2"/>
        <v>0</v>
      </c>
      <c r="BZ16" s="734">
        <f t="shared" ref="BZ16:BZ22" si="35">BR16</f>
        <v>0.32</v>
      </c>
      <c r="CA16" s="2108">
        <f>CA15</f>
        <v>0</v>
      </c>
      <c r="CB16" s="741">
        <f t="shared" ref="CB16:CB22" si="36">IF(BY16=0,0,(BY16*BZ16+BY16*CA16))</f>
        <v>0</v>
      </c>
      <c r="CC16" s="735">
        <f t="shared" si="7"/>
        <v>0</v>
      </c>
      <c r="CD16" s="736">
        <f t="shared" si="8"/>
        <v>0</v>
      </c>
      <c r="CE16" s="729"/>
      <c r="CF16" s="729"/>
      <c r="CG16" s="729"/>
      <c r="CH16" s="729"/>
      <c r="CI16" s="729"/>
      <c r="CJ16" s="729"/>
      <c r="CK16" s="729"/>
      <c r="CL16" s="729"/>
      <c r="CM16" s="729"/>
      <c r="CN16" s="729"/>
      <c r="CO16" s="729"/>
      <c r="CP16" s="729"/>
      <c r="CQ16" s="729"/>
      <c r="CR16" s="729"/>
      <c r="CS16" s="729"/>
      <c r="CT16" s="729"/>
      <c r="CU16" s="729"/>
      <c r="CV16" s="729"/>
      <c r="CW16" s="729"/>
      <c r="CX16" s="729"/>
      <c r="CY16" s="729"/>
      <c r="CZ16" s="729"/>
      <c r="DA16" s="729"/>
      <c r="DB16" s="729"/>
      <c r="DC16" s="729"/>
      <c r="DD16" s="729"/>
      <c r="DE16" s="729"/>
      <c r="DF16" s="729"/>
      <c r="DG16" s="729"/>
      <c r="DH16" s="729"/>
      <c r="DI16" s="729"/>
      <c r="DJ16" s="729"/>
      <c r="DK16" s="729"/>
      <c r="DL16" s="729"/>
      <c r="DM16" s="729"/>
      <c r="DN16" s="729"/>
    </row>
    <row r="17" spans="1:118" ht="20.100000000000001" customHeight="1">
      <c r="A17" s="1880" t="s">
        <v>870</v>
      </c>
      <c r="B17" s="2163"/>
      <c r="C17" s="2166"/>
      <c r="D17" s="1877">
        <f>D15</f>
        <v>0.1</v>
      </c>
      <c r="E17" s="1878">
        <f>C17*D17</f>
        <v>0</v>
      </c>
      <c r="F17" s="1877">
        <f t="shared" si="22"/>
        <v>6.4000000000000001E-2</v>
      </c>
      <c r="G17" s="1878">
        <f>C17*(1-D17-F17)</f>
        <v>0</v>
      </c>
      <c r="H17" s="1881">
        <v>0.32</v>
      </c>
      <c r="I17" s="742">
        <f t="shared" si="9"/>
        <v>0</v>
      </c>
      <c r="J17" s="1875"/>
      <c r="K17" s="730">
        <f t="shared" si="0"/>
        <v>0</v>
      </c>
      <c r="L17" s="1403"/>
      <c r="M17" s="2118">
        <f t="shared" si="23"/>
        <v>0</v>
      </c>
      <c r="N17" s="2119">
        <f>IF(M17=0,0,($E$17/12)*3)</f>
        <v>0</v>
      </c>
      <c r="O17" s="2120">
        <f t="shared" si="24"/>
        <v>0</v>
      </c>
      <c r="P17" s="2117"/>
      <c r="Q17" s="2118">
        <f t="shared" si="10"/>
        <v>0</v>
      </c>
      <c r="R17" s="2119">
        <f>IF(Q17=0,0,($E$17/12)*3)</f>
        <v>0</v>
      </c>
      <c r="S17" s="2120">
        <f t="shared" si="11"/>
        <v>0</v>
      </c>
      <c r="T17" s="2117"/>
      <c r="U17" s="2118">
        <f t="shared" si="12"/>
        <v>0</v>
      </c>
      <c r="V17" s="2119">
        <f>IF(U17=0,0,($E$17/12)*3)</f>
        <v>0</v>
      </c>
      <c r="W17" s="2120">
        <f t="shared" si="13"/>
        <v>0</v>
      </c>
      <c r="X17" s="2117"/>
      <c r="Y17" s="2118">
        <f t="shared" si="14"/>
        <v>0</v>
      </c>
      <c r="Z17" s="2119">
        <f>IF(Y17=0,0,($E$17/12)*3)</f>
        <v>0</v>
      </c>
      <c r="AA17" s="2120">
        <f t="shared" si="15"/>
        <v>0</v>
      </c>
      <c r="AB17" s="731"/>
      <c r="AC17" s="1891"/>
      <c r="AD17" s="731"/>
      <c r="AE17" s="1110"/>
      <c r="AF17" s="732">
        <f t="shared" si="16"/>
        <v>0</v>
      </c>
      <c r="AG17" s="1572">
        <f t="shared" si="25"/>
        <v>0.1</v>
      </c>
      <c r="AH17" s="1573">
        <f>AF17*AG17</f>
        <v>0</v>
      </c>
      <c r="AI17" s="1573">
        <f t="shared" si="26"/>
        <v>0</v>
      </c>
      <c r="AJ17" s="734">
        <f t="shared" si="17"/>
        <v>0.32</v>
      </c>
      <c r="AK17" s="2108"/>
      <c r="AL17" s="741">
        <f t="shared" si="27"/>
        <v>0</v>
      </c>
      <c r="AM17" s="735">
        <f t="shared" si="18"/>
        <v>0</v>
      </c>
      <c r="AN17" s="730">
        <f t="shared" si="3"/>
        <v>0</v>
      </c>
      <c r="AO17" s="731"/>
      <c r="AP17" s="2118">
        <f t="shared" ref="AP17:AP22" si="37">((AF17+AM17)/4)</f>
        <v>0</v>
      </c>
      <c r="AQ17" s="2119">
        <f t="shared" si="28"/>
        <v>0</v>
      </c>
      <c r="AR17" s="2120">
        <f t="shared" ref="AR17:AR22" si="38">(AL17/4)</f>
        <v>0</v>
      </c>
      <c r="AS17" s="2117"/>
      <c r="AT17" s="2118">
        <f t="shared" ref="AT17:AT22" si="39">((AF17+AM17)/4)</f>
        <v>0</v>
      </c>
      <c r="AU17" s="2119">
        <f t="shared" si="29"/>
        <v>0</v>
      </c>
      <c r="AV17" s="2120">
        <f t="shared" ref="AV17:AV22" si="40">(AL17/4)</f>
        <v>0</v>
      </c>
      <c r="AW17" s="2117"/>
      <c r="AX17" s="2118">
        <f t="shared" ref="AX17:AX22" si="41">((AF17+AM17)/4)</f>
        <v>0</v>
      </c>
      <c r="AY17" s="2119">
        <f t="shared" si="30"/>
        <v>0</v>
      </c>
      <c r="AZ17" s="2120">
        <f t="shared" ref="AZ17:AZ22" si="42">(AL17/4)</f>
        <v>0</v>
      </c>
      <c r="BA17" s="2117"/>
      <c r="BB17" s="2118">
        <f t="shared" ref="BB17:BB22" si="43">((AF17+AM17)/4)</f>
        <v>0</v>
      </c>
      <c r="BC17" s="2119">
        <f t="shared" si="31"/>
        <v>0</v>
      </c>
      <c r="BD17" s="2120">
        <f t="shared" ref="BD17:BD22" si="44">(AL17/4)</f>
        <v>0</v>
      </c>
      <c r="BE17" s="731"/>
      <c r="BF17" s="1891"/>
      <c r="BG17" s="731"/>
      <c r="BH17" s="1110"/>
      <c r="BI17" s="732">
        <f t="shared" si="19"/>
        <v>0</v>
      </c>
      <c r="BJ17" s="734">
        <f t="shared" si="20"/>
        <v>0.32</v>
      </c>
      <c r="BK17" s="2108">
        <f>BK15</f>
        <v>0</v>
      </c>
      <c r="BL17" s="741">
        <f t="shared" si="32"/>
        <v>0</v>
      </c>
      <c r="BM17" s="735">
        <f t="shared" si="21"/>
        <v>0</v>
      </c>
      <c r="BN17" s="736">
        <f t="shared" si="4"/>
        <v>0</v>
      </c>
      <c r="BO17" s="731"/>
      <c r="BP17" s="1110"/>
      <c r="BQ17" s="732">
        <f t="shared" si="1"/>
        <v>0</v>
      </c>
      <c r="BR17" s="734">
        <f t="shared" si="33"/>
        <v>0.32</v>
      </c>
      <c r="BS17" s="2108">
        <f>BS15</f>
        <v>0</v>
      </c>
      <c r="BT17" s="741">
        <f t="shared" si="34"/>
        <v>0</v>
      </c>
      <c r="BU17" s="735">
        <f t="shared" si="5"/>
        <v>0</v>
      </c>
      <c r="BV17" s="736">
        <f t="shared" si="6"/>
        <v>0</v>
      </c>
      <c r="BW17" s="731"/>
      <c r="BX17" s="1110"/>
      <c r="BY17" s="732">
        <f t="shared" si="2"/>
        <v>0</v>
      </c>
      <c r="BZ17" s="734">
        <f t="shared" si="35"/>
        <v>0.32</v>
      </c>
      <c r="CA17" s="2108">
        <f>CA15</f>
        <v>0</v>
      </c>
      <c r="CB17" s="741">
        <f t="shared" si="36"/>
        <v>0</v>
      </c>
      <c r="CC17" s="735">
        <f t="shared" si="7"/>
        <v>0</v>
      </c>
      <c r="CD17" s="736">
        <f t="shared" si="8"/>
        <v>0</v>
      </c>
      <c r="CE17" s="729"/>
      <c r="CF17" s="729"/>
      <c r="CG17" s="729"/>
      <c r="CH17" s="729"/>
      <c r="CI17" s="729"/>
      <c r="CJ17" s="729"/>
      <c r="CK17" s="729"/>
      <c r="CL17" s="729"/>
      <c r="CM17" s="729"/>
      <c r="CN17" s="729"/>
      <c r="CO17" s="729"/>
      <c r="CP17" s="729"/>
      <c r="CQ17" s="729"/>
      <c r="CR17" s="729"/>
      <c r="CS17" s="729"/>
      <c r="CT17" s="729"/>
      <c r="CU17" s="729"/>
      <c r="CV17" s="729"/>
      <c r="CW17" s="729"/>
      <c r="CX17" s="729"/>
      <c r="CY17" s="729"/>
      <c r="CZ17" s="729"/>
      <c r="DA17" s="729"/>
      <c r="DB17" s="729"/>
      <c r="DC17" s="729"/>
      <c r="DD17" s="729"/>
      <c r="DE17" s="729"/>
      <c r="DF17" s="729"/>
      <c r="DG17" s="729"/>
      <c r="DH17" s="729"/>
      <c r="DI17" s="729"/>
      <c r="DJ17" s="729"/>
      <c r="DK17" s="729"/>
      <c r="DL17" s="729"/>
      <c r="DM17" s="729"/>
      <c r="DN17" s="729"/>
    </row>
    <row r="18" spans="1:118" ht="20.100000000000001" customHeight="1">
      <c r="A18" s="1880" t="s">
        <v>871</v>
      </c>
      <c r="B18" s="2163"/>
      <c r="C18" s="2166"/>
      <c r="D18" s="1877">
        <f>D15</f>
        <v>0.1</v>
      </c>
      <c r="E18" s="1878">
        <f>C18*D18</f>
        <v>0</v>
      </c>
      <c r="F18" s="1877">
        <f t="shared" si="22"/>
        <v>6.4000000000000001E-2</v>
      </c>
      <c r="G18" s="1878">
        <f>C18*(1-D18-F18)</f>
        <v>0</v>
      </c>
      <c r="H18" s="1881">
        <v>0.32</v>
      </c>
      <c r="I18" s="742">
        <f t="shared" si="9"/>
        <v>0</v>
      </c>
      <c r="J18" s="1875"/>
      <c r="K18" s="730">
        <f t="shared" si="0"/>
        <v>0</v>
      </c>
      <c r="L18" s="1403"/>
      <c r="M18" s="2118">
        <f t="shared" si="23"/>
        <v>0</v>
      </c>
      <c r="N18" s="2119">
        <f>IF(M18=0,0,($E$18/12)*3)</f>
        <v>0</v>
      </c>
      <c r="O18" s="2120">
        <f t="shared" si="24"/>
        <v>0</v>
      </c>
      <c r="P18" s="2117"/>
      <c r="Q18" s="2118">
        <f t="shared" si="10"/>
        <v>0</v>
      </c>
      <c r="R18" s="2119">
        <f>IF(Q18=0,0,($E$18/12)*3)</f>
        <v>0</v>
      </c>
      <c r="S18" s="2120">
        <f t="shared" si="11"/>
        <v>0</v>
      </c>
      <c r="T18" s="2117"/>
      <c r="U18" s="2118">
        <f t="shared" si="12"/>
        <v>0</v>
      </c>
      <c r="V18" s="2119">
        <f>IF(U18=0,0,($E$18/12)*3)</f>
        <v>0</v>
      </c>
      <c r="W18" s="2120">
        <f t="shared" si="13"/>
        <v>0</v>
      </c>
      <c r="X18" s="2117"/>
      <c r="Y18" s="2118">
        <f t="shared" si="14"/>
        <v>0</v>
      </c>
      <c r="Z18" s="2119">
        <f>IF(Y18=0,0,($E$18/12)*3)</f>
        <v>0</v>
      </c>
      <c r="AA18" s="2120">
        <f t="shared" si="15"/>
        <v>0</v>
      </c>
      <c r="AB18" s="731"/>
      <c r="AC18" s="1891"/>
      <c r="AD18" s="731"/>
      <c r="AE18" s="1110"/>
      <c r="AF18" s="732">
        <f t="shared" si="16"/>
        <v>0</v>
      </c>
      <c r="AG18" s="1572">
        <f t="shared" si="25"/>
        <v>0.1</v>
      </c>
      <c r="AH18" s="1573">
        <f>AF18*AG18</f>
        <v>0</v>
      </c>
      <c r="AI18" s="1573">
        <f t="shared" si="26"/>
        <v>0</v>
      </c>
      <c r="AJ18" s="734">
        <f t="shared" si="17"/>
        <v>0.32</v>
      </c>
      <c r="AK18" s="2108"/>
      <c r="AL18" s="741">
        <f t="shared" si="27"/>
        <v>0</v>
      </c>
      <c r="AM18" s="735">
        <f t="shared" si="18"/>
        <v>0</v>
      </c>
      <c r="AN18" s="730">
        <f t="shared" si="3"/>
        <v>0</v>
      </c>
      <c r="AO18" s="731"/>
      <c r="AP18" s="2118">
        <f t="shared" si="37"/>
        <v>0</v>
      </c>
      <c r="AQ18" s="2119">
        <f t="shared" si="28"/>
        <v>0</v>
      </c>
      <c r="AR18" s="2120">
        <f t="shared" si="38"/>
        <v>0</v>
      </c>
      <c r="AS18" s="2117"/>
      <c r="AT18" s="2118">
        <f t="shared" si="39"/>
        <v>0</v>
      </c>
      <c r="AU18" s="2119">
        <f t="shared" si="29"/>
        <v>0</v>
      </c>
      <c r="AV18" s="2120">
        <f t="shared" si="40"/>
        <v>0</v>
      </c>
      <c r="AW18" s="2117"/>
      <c r="AX18" s="2118">
        <f t="shared" si="41"/>
        <v>0</v>
      </c>
      <c r="AY18" s="2119">
        <f t="shared" si="30"/>
        <v>0</v>
      </c>
      <c r="AZ18" s="2120">
        <f t="shared" si="42"/>
        <v>0</v>
      </c>
      <c r="BA18" s="2117"/>
      <c r="BB18" s="2118">
        <f t="shared" si="43"/>
        <v>0</v>
      </c>
      <c r="BC18" s="2119">
        <f t="shared" si="31"/>
        <v>0</v>
      </c>
      <c r="BD18" s="2120">
        <f t="shared" si="44"/>
        <v>0</v>
      </c>
      <c r="BE18" s="731"/>
      <c r="BF18" s="1891"/>
      <c r="BG18" s="731"/>
      <c r="BH18" s="1110"/>
      <c r="BI18" s="732">
        <f t="shared" si="19"/>
        <v>0</v>
      </c>
      <c r="BJ18" s="734">
        <f t="shared" si="20"/>
        <v>0.32</v>
      </c>
      <c r="BK18" s="2108">
        <f>BK15</f>
        <v>0</v>
      </c>
      <c r="BL18" s="741">
        <f t="shared" si="32"/>
        <v>0</v>
      </c>
      <c r="BM18" s="735">
        <f t="shared" si="21"/>
        <v>0</v>
      </c>
      <c r="BN18" s="736">
        <f t="shared" si="4"/>
        <v>0</v>
      </c>
      <c r="BO18" s="731"/>
      <c r="BP18" s="1110"/>
      <c r="BQ18" s="732">
        <f t="shared" si="1"/>
        <v>0</v>
      </c>
      <c r="BR18" s="734">
        <f t="shared" si="33"/>
        <v>0.32</v>
      </c>
      <c r="BS18" s="2108">
        <f>BS15</f>
        <v>0</v>
      </c>
      <c r="BT18" s="741">
        <f t="shared" si="34"/>
        <v>0</v>
      </c>
      <c r="BU18" s="735">
        <f t="shared" si="5"/>
        <v>0</v>
      </c>
      <c r="BV18" s="736">
        <f t="shared" si="6"/>
        <v>0</v>
      </c>
      <c r="BW18" s="731"/>
      <c r="BX18" s="1110"/>
      <c r="BY18" s="732">
        <f t="shared" si="2"/>
        <v>0</v>
      </c>
      <c r="BZ18" s="734">
        <f t="shared" si="35"/>
        <v>0.32</v>
      </c>
      <c r="CA18" s="2108">
        <f>CA15</f>
        <v>0</v>
      </c>
      <c r="CB18" s="741">
        <f t="shared" si="36"/>
        <v>0</v>
      </c>
      <c r="CC18" s="735">
        <f t="shared" si="7"/>
        <v>0</v>
      </c>
      <c r="CD18" s="736">
        <f t="shared" si="8"/>
        <v>0</v>
      </c>
      <c r="CE18" s="729"/>
      <c r="CF18" s="729"/>
      <c r="CG18" s="729"/>
      <c r="CH18" s="729"/>
      <c r="CI18" s="729"/>
      <c r="CJ18" s="729"/>
      <c r="CK18" s="729"/>
      <c r="CL18" s="729"/>
      <c r="CM18" s="729"/>
      <c r="CN18" s="729"/>
      <c r="CO18" s="729"/>
      <c r="CP18" s="729"/>
      <c r="CQ18" s="729"/>
      <c r="CR18" s="729"/>
      <c r="CS18" s="729"/>
      <c r="CT18" s="729"/>
      <c r="CU18" s="729"/>
      <c r="CV18" s="729"/>
      <c r="CW18" s="729"/>
      <c r="CX18" s="729"/>
      <c r="CY18" s="729"/>
      <c r="CZ18" s="729"/>
      <c r="DA18" s="729"/>
      <c r="DB18" s="729"/>
      <c r="DC18" s="729"/>
      <c r="DD18" s="729"/>
      <c r="DE18" s="729"/>
      <c r="DF18" s="729"/>
      <c r="DG18" s="729"/>
      <c r="DH18" s="729"/>
      <c r="DI18" s="729"/>
      <c r="DJ18" s="729"/>
      <c r="DK18" s="729"/>
      <c r="DL18" s="729"/>
      <c r="DM18" s="729"/>
      <c r="DN18" s="729"/>
    </row>
    <row r="19" spans="1:118" ht="20.100000000000001" customHeight="1" thickBot="1">
      <c r="A19" s="1880" t="s">
        <v>872</v>
      </c>
      <c r="B19" s="2163"/>
      <c r="C19" s="2166"/>
      <c r="D19" s="1877">
        <f>D15</f>
        <v>0.1</v>
      </c>
      <c r="E19" s="1878">
        <f>C19*D19</f>
        <v>0</v>
      </c>
      <c r="F19" s="1877">
        <f t="shared" si="22"/>
        <v>6.4000000000000001E-2</v>
      </c>
      <c r="G19" s="1878">
        <f>C19*(1-D19-F19)</f>
        <v>0</v>
      </c>
      <c r="H19" s="1881">
        <v>0.32</v>
      </c>
      <c r="I19" s="742">
        <f t="shared" si="9"/>
        <v>0</v>
      </c>
      <c r="J19" s="1875"/>
      <c r="K19" s="730">
        <f t="shared" si="0"/>
        <v>0</v>
      </c>
      <c r="L19" s="1403"/>
      <c r="M19" s="2118">
        <f t="shared" si="23"/>
        <v>0</v>
      </c>
      <c r="N19" s="2119">
        <f>IF(M19=0,0,($E$19/12)*3)</f>
        <v>0</v>
      </c>
      <c r="O19" s="2120">
        <f t="shared" si="24"/>
        <v>0</v>
      </c>
      <c r="P19" s="2117"/>
      <c r="Q19" s="2118">
        <f t="shared" si="10"/>
        <v>0</v>
      </c>
      <c r="R19" s="2119">
        <f>IF(Q19=0,0,($E$19/12)*3)</f>
        <v>0</v>
      </c>
      <c r="S19" s="2120">
        <f t="shared" si="11"/>
        <v>0</v>
      </c>
      <c r="T19" s="2117"/>
      <c r="U19" s="2118">
        <f t="shared" si="12"/>
        <v>0</v>
      </c>
      <c r="V19" s="2119">
        <f>IF(U19=0,0,($E$19/12)*3)</f>
        <v>0</v>
      </c>
      <c r="W19" s="2120">
        <f t="shared" si="13"/>
        <v>0</v>
      </c>
      <c r="X19" s="2117"/>
      <c r="Y19" s="2118">
        <f t="shared" si="14"/>
        <v>0</v>
      </c>
      <c r="Z19" s="2119">
        <f>IF(Y19=0,0,($E$19/12)*3)</f>
        <v>0</v>
      </c>
      <c r="AA19" s="2120">
        <f t="shared" si="15"/>
        <v>0</v>
      </c>
      <c r="AB19" s="731"/>
      <c r="AC19" s="1891"/>
      <c r="AD19" s="731"/>
      <c r="AE19" s="1110"/>
      <c r="AF19" s="732">
        <f t="shared" si="16"/>
        <v>0</v>
      </c>
      <c r="AG19" s="1572">
        <f t="shared" si="25"/>
        <v>0.1</v>
      </c>
      <c r="AH19" s="1573">
        <f>AF19*AG19</f>
        <v>0</v>
      </c>
      <c r="AI19" s="1573">
        <f t="shared" si="26"/>
        <v>0</v>
      </c>
      <c r="AJ19" s="734">
        <f t="shared" si="17"/>
        <v>0.32</v>
      </c>
      <c r="AK19" s="2108"/>
      <c r="AL19" s="741">
        <f t="shared" si="27"/>
        <v>0</v>
      </c>
      <c r="AM19" s="735">
        <f t="shared" si="18"/>
        <v>0</v>
      </c>
      <c r="AN19" s="730">
        <f t="shared" si="3"/>
        <v>0</v>
      </c>
      <c r="AO19" s="731"/>
      <c r="AP19" s="2118">
        <f t="shared" si="37"/>
        <v>0</v>
      </c>
      <c r="AQ19" s="2119">
        <f t="shared" si="28"/>
        <v>0</v>
      </c>
      <c r="AR19" s="2120">
        <f t="shared" si="38"/>
        <v>0</v>
      </c>
      <c r="AS19" s="2117"/>
      <c r="AT19" s="2118">
        <f t="shared" si="39"/>
        <v>0</v>
      </c>
      <c r="AU19" s="2119">
        <f t="shared" si="29"/>
        <v>0</v>
      </c>
      <c r="AV19" s="2120">
        <f t="shared" si="40"/>
        <v>0</v>
      </c>
      <c r="AW19" s="2117"/>
      <c r="AX19" s="2118">
        <f t="shared" si="41"/>
        <v>0</v>
      </c>
      <c r="AY19" s="2119">
        <f t="shared" si="30"/>
        <v>0</v>
      </c>
      <c r="AZ19" s="2120">
        <f t="shared" si="42"/>
        <v>0</v>
      </c>
      <c r="BA19" s="2117"/>
      <c r="BB19" s="2118">
        <f t="shared" si="43"/>
        <v>0</v>
      </c>
      <c r="BC19" s="2119">
        <f t="shared" si="31"/>
        <v>0</v>
      </c>
      <c r="BD19" s="2120">
        <f t="shared" si="44"/>
        <v>0</v>
      </c>
      <c r="BE19" s="731"/>
      <c r="BF19" s="1891"/>
      <c r="BG19" s="731"/>
      <c r="BH19" s="1110"/>
      <c r="BI19" s="732">
        <f t="shared" si="19"/>
        <v>0</v>
      </c>
      <c r="BJ19" s="734">
        <f t="shared" si="20"/>
        <v>0.32</v>
      </c>
      <c r="BK19" s="2108">
        <f>BK15</f>
        <v>0</v>
      </c>
      <c r="BL19" s="741">
        <f t="shared" si="32"/>
        <v>0</v>
      </c>
      <c r="BM19" s="735">
        <f t="shared" si="21"/>
        <v>0</v>
      </c>
      <c r="BN19" s="736">
        <f t="shared" si="4"/>
        <v>0</v>
      </c>
      <c r="BO19" s="731"/>
      <c r="BP19" s="1110"/>
      <c r="BQ19" s="732">
        <f t="shared" si="1"/>
        <v>0</v>
      </c>
      <c r="BR19" s="734">
        <f t="shared" si="33"/>
        <v>0.32</v>
      </c>
      <c r="BS19" s="2108">
        <f>BS15</f>
        <v>0</v>
      </c>
      <c r="BT19" s="741">
        <f t="shared" si="34"/>
        <v>0</v>
      </c>
      <c r="BU19" s="735">
        <f t="shared" si="5"/>
        <v>0</v>
      </c>
      <c r="BV19" s="736">
        <f t="shared" si="6"/>
        <v>0</v>
      </c>
      <c r="BW19" s="731"/>
      <c r="BX19" s="1110"/>
      <c r="BY19" s="732">
        <f t="shared" si="2"/>
        <v>0</v>
      </c>
      <c r="BZ19" s="734">
        <f t="shared" si="35"/>
        <v>0.32</v>
      </c>
      <c r="CA19" s="2108">
        <f>CA15</f>
        <v>0</v>
      </c>
      <c r="CB19" s="741">
        <f t="shared" si="36"/>
        <v>0</v>
      </c>
      <c r="CC19" s="735">
        <f t="shared" si="7"/>
        <v>0</v>
      </c>
      <c r="CD19" s="736">
        <f t="shared" si="8"/>
        <v>0</v>
      </c>
      <c r="CE19" s="729"/>
      <c r="CF19" s="729"/>
      <c r="CG19" s="729"/>
      <c r="CH19" s="729"/>
      <c r="CI19" s="729"/>
      <c r="CJ19" s="729"/>
      <c r="CK19" s="729"/>
      <c r="CL19" s="729"/>
      <c r="CM19" s="729"/>
      <c r="CN19" s="729"/>
      <c r="CO19" s="729"/>
      <c r="CP19" s="729"/>
      <c r="CQ19" s="729"/>
      <c r="CR19" s="729"/>
      <c r="CS19" s="729"/>
      <c r="CT19" s="729"/>
      <c r="CU19" s="729"/>
      <c r="CV19" s="729"/>
      <c r="CW19" s="729"/>
      <c r="CX19" s="729"/>
      <c r="CY19" s="729"/>
      <c r="CZ19" s="729"/>
      <c r="DA19" s="729"/>
      <c r="DB19" s="729"/>
      <c r="DC19" s="729"/>
      <c r="DD19" s="729"/>
      <c r="DE19" s="729"/>
      <c r="DF19" s="729"/>
      <c r="DG19" s="729"/>
      <c r="DH19" s="729"/>
      <c r="DI19" s="729"/>
      <c r="DJ19" s="729"/>
      <c r="DK19" s="729"/>
      <c r="DL19" s="729"/>
      <c r="DM19" s="729"/>
      <c r="DN19" s="729"/>
    </row>
    <row r="20" spans="1:118" ht="20.100000000000001" hidden="1" customHeight="1">
      <c r="A20" s="1880" t="s">
        <v>661</v>
      </c>
      <c r="B20" s="2163"/>
      <c r="C20" s="2166"/>
      <c r="D20" s="1877">
        <f t="shared" ref="D20:D22" si="45">D16</f>
        <v>0.1</v>
      </c>
      <c r="E20" s="1878">
        <f t="shared" ref="E20:E22" si="46">C20*D20</f>
        <v>0</v>
      </c>
      <c r="F20" s="1877">
        <f t="shared" si="22"/>
        <v>6.4000000000000001E-2</v>
      </c>
      <c r="G20" s="1878">
        <f t="shared" ref="G20:G22" si="47">C20*(1-D20-F20)</f>
        <v>0</v>
      </c>
      <c r="H20" s="1881">
        <v>0.32</v>
      </c>
      <c r="I20" s="742">
        <f t="shared" si="9"/>
        <v>0</v>
      </c>
      <c r="J20" s="1875"/>
      <c r="K20" s="730">
        <f t="shared" si="0"/>
        <v>0</v>
      </c>
      <c r="L20" s="1403"/>
      <c r="M20" s="2118">
        <f t="shared" si="23"/>
        <v>0</v>
      </c>
      <c r="N20" s="2119">
        <f>IF(M20=0,0,($E$20/12)*3)</f>
        <v>0</v>
      </c>
      <c r="O20" s="2120">
        <f t="shared" si="24"/>
        <v>0</v>
      </c>
      <c r="P20" s="2117"/>
      <c r="Q20" s="2118">
        <f t="shared" si="10"/>
        <v>0</v>
      </c>
      <c r="R20" s="2119">
        <f>IF(Q20=0,0,($E$20/12)*3)</f>
        <v>0</v>
      </c>
      <c r="S20" s="2120">
        <f t="shared" si="11"/>
        <v>0</v>
      </c>
      <c r="T20" s="2117"/>
      <c r="U20" s="2118">
        <f t="shared" si="12"/>
        <v>0</v>
      </c>
      <c r="V20" s="2119">
        <f>IF(U20=0,0,($E$20/12)*3)</f>
        <v>0</v>
      </c>
      <c r="W20" s="2120">
        <f t="shared" si="13"/>
        <v>0</v>
      </c>
      <c r="X20" s="2117"/>
      <c r="Y20" s="2118">
        <f t="shared" si="14"/>
        <v>0</v>
      </c>
      <c r="Z20" s="2119">
        <f>IF(Y20=0,0,($E$20/12)*3)</f>
        <v>0</v>
      </c>
      <c r="AA20" s="2120">
        <f t="shared" si="15"/>
        <v>0</v>
      </c>
      <c r="AB20" s="731"/>
      <c r="AC20" s="1891"/>
      <c r="AD20" s="731"/>
      <c r="AE20" s="1110"/>
      <c r="AF20" s="732">
        <f t="shared" si="16"/>
        <v>0</v>
      </c>
      <c r="AG20" s="1572">
        <f t="shared" si="25"/>
        <v>0.1</v>
      </c>
      <c r="AH20" s="1573">
        <f t="shared" ref="AH20:AH22" si="48">AF20*AG20</f>
        <v>0</v>
      </c>
      <c r="AI20" s="1573">
        <f t="shared" si="26"/>
        <v>0</v>
      </c>
      <c r="AJ20" s="734">
        <f t="shared" si="17"/>
        <v>0.32</v>
      </c>
      <c r="AK20" s="2108">
        <f>AK15</f>
        <v>0</v>
      </c>
      <c r="AL20" s="741">
        <f t="shared" si="27"/>
        <v>0</v>
      </c>
      <c r="AM20" s="735">
        <f t="shared" si="18"/>
        <v>0</v>
      </c>
      <c r="AN20" s="730">
        <f t="shared" si="3"/>
        <v>0</v>
      </c>
      <c r="AO20" s="731"/>
      <c r="AP20" s="2118">
        <f t="shared" si="37"/>
        <v>0</v>
      </c>
      <c r="AQ20" s="2119">
        <f t="shared" si="28"/>
        <v>0</v>
      </c>
      <c r="AR20" s="2120">
        <f t="shared" si="38"/>
        <v>0</v>
      </c>
      <c r="AS20" s="2117"/>
      <c r="AT20" s="2118">
        <f t="shared" si="39"/>
        <v>0</v>
      </c>
      <c r="AU20" s="2119">
        <f t="shared" si="29"/>
        <v>0</v>
      </c>
      <c r="AV20" s="2120">
        <f t="shared" si="40"/>
        <v>0</v>
      </c>
      <c r="AW20" s="2117"/>
      <c r="AX20" s="2118">
        <f t="shared" si="41"/>
        <v>0</v>
      </c>
      <c r="AY20" s="2119">
        <f t="shared" si="30"/>
        <v>0</v>
      </c>
      <c r="AZ20" s="2120">
        <f t="shared" si="42"/>
        <v>0</v>
      </c>
      <c r="BA20" s="2117"/>
      <c r="BB20" s="2118">
        <f t="shared" si="43"/>
        <v>0</v>
      </c>
      <c r="BC20" s="2119">
        <f t="shared" si="31"/>
        <v>0</v>
      </c>
      <c r="BD20" s="2120">
        <f t="shared" si="44"/>
        <v>0</v>
      </c>
      <c r="BE20" s="731"/>
      <c r="BF20" s="1891"/>
      <c r="BG20" s="731"/>
      <c r="BH20" s="1110"/>
      <c r="BI20" s="732">
        <f t="shared" si="19"/>
        <v>0</v>
      </c>
      <c r="BJ20" s="734">
        <f t="shared" si="20"/>
        <v>0.32</v>
      </c>
      <c r="BK20" s="2108">
        <f>BK15</f>
        <v>0</v>
      </c>
      <c r="BL20" s="741">
        <f t="shared" si="32"/>
        <v>0</v>
      </c>
      <c r="BM20" s="735">
        <f t="shared" si="21"/>
        <v>0</v>
      </c>
      <c r="BN20" s="736">
        <f t="shared" si="4"/>
        <v>0</v>
      </c>
      <c r="BO20" s="731"/>
      <c r="BP20" s="1110"/>
      <c r="BQ20" s="732">
        <f t="shared" si="1"/>
        <v>0</v>
      </c>
      <c r="BR20" s="734">
        <f t="shared" si="33"/>
        <v>0.32</v>
      </c>
      <c r="BS20" s="2108">
        <f>BS15</f>
        <v>0</v>
      </c>
      <c r="BT20" s="741">
        <f t="shared" si="34"/>
        <v>0</v>
      </c>
      <c r="BU20" s="735">
        <f t="shared" si="5"/>
        <v>0</v>
      </c>
      <c r="BV20" s="736">
        <f t="shared" si="6"/>
        <v>0</v>
      </c>
      <c r="BW20" s="731"/>
      <c r="BX20" s="1110"/>
      <c r="BY20" s="732">
        <f t="shared" si="2"/>
        <v>0</v>
      </c>
      <c r="BZ20" s="734">
        <f t="shared" si="35"/>
        <v>0.32</v>
      </c>
      <c r="CA20" s="2108">
        <f>CA15</f>
        <v>0</v>
      </c>
      <c r="CB20" s="741">
        <f t="shared" si="36"/>
        <v>0</v>
      </c>
      <c r="CC20" s="735">
        <f t="shared" si="7"/>
        <v>0</v>
      </c>
      <c r="CD20" s="736">
        <f t="shared" si="8"/>
        <v>0</v>
      </c>
      <c r="CE20" s="729"/>
      <c r="CF20" s="729"/>
      <c r="CG20" s="729"/>
      <c r="CH20" s="729"/>
      <c r="CI20" s="729"/>
      <c r="CJ20" s="729"/>
      <c r="CK20" s="729"/>
      <c r="CL20" s="729"/>
      <c r="CM20" s="729"/>
      <c r="CN20" s="729"/>
      <c r="CO20" s="729"/>
      <c r="CP20" s="729"/>
      <c r="CQ20" s="729"/>
      <c r="CR20" s="729"/>
      <c r="CS20" s="729"/>
      <c r="CT20" s="729"/>
      <c r="CU20" s="729"/>
      <c r="CV20" s="729"/>
      <c r="CW20" s="729"/>
      <c r="CX20" s="729"/>
      <c r="CY20" s="729"/>
      <c r="CZ20" s="729"/>
      <c r="DA20" s="729"/>
      <c r="DB20" s="729"/>
      <c r="DC20" s="729"/>
      <c r="DD20" s="729"/>
      <c r="DE20" s="729"/>
      <c r="DF20" s="729"/>
      <c r="DG20" s="729"/>
      <c r="DH20" s="729"/>
      <c r="DI20" s="729"/>
      <c r="DJ20" s="729"/>
      <c r="DK20" s="729"/>
      <c r="DL20" s="729"/>
      <c r="DM20" s="729"/>
      <c r="DN20" s="729"/>
    </row>
    <row r="21" spans="1:118" ht="20.100000000000001" hidden="1" customHeight="1">
      <c r="A21" s="1880" t="s">
        <v>662</v>
      </c>
      <c r="B21" s="2163"/>
      <c r="C21" s="2166"/>
      <c r="D21" s="1877">
        <f t="shared" si="45"/>
        <v>0.1</v>
      </c>
      <c r="E21" s="1878">
        <f t="shared" si="46"/>
        <v>0</v>
      </c>
      <c r="F21" s="1877">
        <f t="shared" si="22"/>
        <v>6.4000000000000001E-2</v>
      </c>
      <c r="G21" s="1878">
        <f t="shared" si="47"/>
        <v>0</v>
      </c>
      <c r="H21" s="1881">
        <v>0.32</v>
      </c>
      <c r="I21" s="742">
        <f t="shared" si="9"/>
        <v>0</v>
      </c>
      <c r="J21" s="1875"/>
      <c r="K21" s="730">
        <f t="shared" si="0"/>
        <v>0</v>
      </c>
      <c r="L21" s="1403"/>
      <c r="M21" s="2118">
        <f t="shared" si="23"/>
        <v>0</v>
      </c>
      <c r="N21" s="2119">
        <f>IF(M21=0,0,($E$21/12)*3)</f>
        <v>0</v>
      </c>
      <c r="O21" s="2120">
        <f t="shared" si="24"/>
        <v>0</v>
      </c>
      <c r="P21" s="2117"/>
      <c r="Q21" s="2118">
        <f t="shared" si="10"/>
        <v>0</v>
      </c>
      <c r="R21" s="2119">
        <f>IF(Q21=0,0,($E$21/12)*3)</f>
        <v>0</v>
      </c>
      <c r="S21" s="2120">
        <f t="shared" si="11"/>
        <v>0</v>
      </c>
      <c r="T21" s="2117"/>
      <c r="U21" s="2118">
        <f t="shared" si="12"/>
        <v>0</v>
      </c>
      <c r="V21" s="2119">
        <f>IF(U21=0,0,($E$21/12)*3)</f>
        <v>0</v>
      </c>
      <c r="W21" s="2120">
        <f t="shared" si="13"/>
        <v>0</v>
      </c>
      <c r="X21" s="2117"/>
      <c r="Y21" s="2118">
        <f t="shared" si="14"/>
        <v>0</v>
      </c>
      <c r="Z21" s="2119">
        <f>IF(Y21=0,0,($E$21/12)*3)</f>
        <v>0</v>
      </c>
      <c r="AA21" s="2120">
        <f t="shared" si="15"/>
        <v>0</v>
      </c>
      <c r="AB21" s="731"/>
      <c r="AC21" s="1891"/>
      <c r="AD21" s="731"/>
      <c r="AE21" s="1110"/>
      <c r="AF21" s="732">
        <f t="shared" si="16"/>
        <v>0</v>
      </c>
      <c r="AG21" s="1572">
        <f t="shared" si="25"/>
        <v>0.1</v>
      </c>
      <c r="AH21" s="1573">
        <f t="shared" si="48"/>
        <v>0</v>
      </c>
      <c r="AI21" s="1573">
        <f t="shared" si="26"/>
        <v>0</v>
      </c>
      <c r="AJ21" s="734">
        <f t="shared" si="17"/>
        <v>0.32</v>
      </c>
      <c r="AK21" s="2108">
        <f>AK15</f>
        <v>0</v>
      </c>
      <c r="AL21" s="741">
        <f t="shared" si="27"/>
        <v>0</v>
      </c>
      <c r="AM21" s="735">
        <f t="shared" si="18"/>
        <v>0</v>
      </c>
      <c r="AN21" s="730">
        <f t="shared" si="3"/>
        <v>0</v>
      </c>
      <c r="AO21" s="731"/>
      <c r="AP21" s="2118">
        <f t="shared" si="37"/>
        <v>0</v>
      </c>
      <c r="AQ21" s="2119">
        <f t="shared" si="28"/>
        <v>0</v>
      </c>
      <c r="AR21" s="2120">
        <f t="shared" si="38"/>
        <v>0</v>
      </c>
      <c r="AS21" s="2117"/>
      <c r="AT21" s="2118">
        <f t="shared" si="39"/>
        <v>0</v>
      </c>
      <c r="AU21" s="2119">
        <f t="shared" si="29"/>
        <v>0</v>
      </c>
      <c r="AV21" s="2120">
        <f t="shared" si="40"/>
        <v>0</v>
      </c>
      <c r="AW21" s="2117"/>
      <c r="AX21" s="2118">
        <f t="shared" si="41"/>
        <v>0</v>
      </c>
      <c r="AY21" s="2119">
        <f t="shared" si="30"/>
        <v>0</v>
      </c>
      <c r="AZ21" s="2120">
        <f t="shared" si="42"/>
        <v>0</v>
      </c>
      <c r="BA21" s="2117"/>
      <c r="BB21" s="2118">
        <f t="shared" si="43"/>
        <v>0</v>
      </c>
      <c r="BC21" s="2119">
        <f t="shared" si="31"/>
        <v>0</v>
      </c>
      <c r="BD21" s="2120">
        <f t="shared" si="44"/>
        <v>0</v>
      </c>
      <c r="BE21" s="731"/>
      <c r="BF21" s="1891"/>
      <c r="BG21" s="731"/>
      <c r="BH21" s="1110"/>
      <c r="BI21" s="732">
        <f t="shared" si="19"/>
        <v>0</v>
      </c>
      <c r="BJ21" s="734">
        <f t="shared" si="20"/>
        <v>0.32</v>
      </c>
      <c r="BK21" s="2108">
        <f>BK15</f>
        <v>0</v>
      </c>
      <c r="BL21" s="741">
        <f t="shared" si="32"/>
        <v>0</v>
      </c>
      <c r="BM21" s="735">
        <f t="shared" si="21"/>
        <v>0</v>
      </c>
      <c r="BN21" s="736">
        <f t="shared" si="4"/>
        <v>0</v>
      </c>
      <c r="BO21" s="731"/>
      <c r="BP21" s="1110"/>
      <c r="BQ21" s="732">
        <f t="shared" si="1"/>
        <v>0</v>
      </c>
      <c r="BR21" s="734">
        <f t="shared" si="33"/>
        <v>0.32</v>
      </c>
      <c r="BS21" s="2108">
        <f>BS15</f>
        <v>0</v>
      </c>
      <c r="BT21" s="741">
        <f t="shared" si="34"/>
        <v>0</v>
      </c>
      <c r="BU21" s="735">
        <f t="shared" si="5"/>
        <v>0</v>
      </c>
      <c r="BV21" s="736">
        <f t="shared" si="6"/>
        <v>0</v>
      </c>
      <c r="BW21" s="731"/>
      <c r="BX21" s="1110"/>
      <c r="BY21" s="732">
        <f t="shared" si="2"/>
        <v>0</v>
      </c>
      <c r="BZ21" s="734">
        <f t="shared" si="35"/>
        <v>0.32</v>
      </c>
      <c r="CA21" s="2108">
        <f>CA15</f>
        <v>0</v>
      </c>
      <c r="CB21" s="741">
        <f t="shared" si="36"/>
        <v>0</v>
      </c>
      <c r="CC21" s="735">
        <f t="shared" si="7"/>
        <v>0</v>
      </c>
      <c r="CD21" s="736">
        <f t="shared" si="8"/>
        <v>0</v>
      </c>
      <c r="CE21" s="729"/>
      <c r="CF21" s="729"/>
      <c r="CG21" s="729"/>
      <c r="CH21" s="729"/>
      <c r="CI21" s="729"/>
      <c r="CJ21" s="729"/>
      <c r="CK21" s="729"/>
      <c r="CL21" s="729"/>
      <c r="CM21" s="729"/>
      <c r="CN21" s="729"/>
      <c r="CO21" s="729"/>
      <c r="CP21" s="729"/>
      <c r="CQ21" s="729"/>
      <c r="CR21" s="729"/>
      <c r="CS21" s="729"/>
      <c r="CT21" s="729"/>
      <c r="CU21" s="729"/>
      <c r="CV21" s="729"/>
      <c r="CW21" s="729"/>
      <c r="CX21" s="729"/>
      <c r="CY21" s="729"/>
      <c r="CZ21" s="729"/>
      <c r="DA21" s="729"/>
      <c r="DB21" s="729"/>
      <c r="DC21" s="729"/>
      <c r="DD21" s="729"/>
      <c r="DE21" s="729"/>
      <c r="DF21" s="729"/>
      <c r="DG21" s="729"/>
      <c r="DH21" s="729"/>
      <c r="DI21" s="729"/>
      <c r="DJ21" s="729"/>
      <c r="DK21" s="729"/>
      <c r="DL21" s="729"/>
      <c r="DM21" s="729"/>
      <c r="DN21" s="729"/>
    </row>
    <row r="22" spans="1:118" ht="20.100000000000001" hidden="1" customHeight="1" thickBot="1">
      <c r="A22" s="1880" t="s">
        <v>663</v>
      </c>
      <c r="B22" s="2163"/>
      <c r="C22" s="2166"/>
      <c r="D22" s="1877">
        <f t="shared" si="45"/>
        <v>0.1</v>
      </c>
      <c r="E22" s="1878">
        <f t="shared" si="46"/>
        <v>0</v>
      </c>
      <c r="F22" s="1877">
        <f t="shared" si="22"/>
        <v>6.4000000000000001E-2</v>
      </c>
      <c r="G22" s="1878">
        <f t="shared" si="47"/>
        <v>0</v>
      </c>
      <c r="H22" s="1881">
        <v>0.32</v>
      </c>
      <c r="I22" s="742">
        <f t="shared" si="9"/>
        <v>0</v>
      </c>
      <c r="J22" s="1875"/>
      <c r="K22" s="730">
        <f t="shared" si="0"/>
        <v>0</v>
      </c>
      <c r="L22" s="1403"/>
      <c r="M22" s="2118">
        <f t="shared" si="23"/>
        <v>0</v>
      </c>
      <c r="N22" s="2119">
        <f>IF(M22=0,0,($E$22/12)*3)</f>
        <v>0</v>
      </c>
      <c r="O22" s="2120">
        <f t="shared" si="24"/>
        <v>0</v>
      </c>
      <c r="P22" s="2117"/>
      <c r="Q22" s="2118">
        <f t="shared" si="10"/>
        <v>0</v>
      </c>
      <c r="R22" s="2119">
        <f>IF(Q22=0,0,($E$22/12)*3)</f>
        <v>0</v>
      </c>
      <c r="S22" s="2120">
        <f t="shared" si="11"/>
        <v>0</v>
      </c>
      <c r="T22" s="2117"/>
      <c r="U22" s="2118">
        <f t="shared" si="12"/>
        <v>0</v>
      </c>
      <c r="V22" s="2119">
        <f>IF(U22=0,0,($E$22/12)*3)</f>
        <v>0</v>
      </c>
      <c r="W22" s="2120">
        <f t="shared" si="13"/>
        <v>0</v>
      </c>
      <c r="X22" s="2117"/>
      <c r="Y22" s="2118">
        <f t="shared" si="14"/>
        <v>0</v>
      </c>
      <c r="Z22" s="2119">
        <f>IF(Y22=0,0,($E$22/12)*3)</f>
        <v>0</v>
      </c>
      <c r="AA22" s="2120">
        <f t="shared" si="15"/>
        <v>0</v>
      </c>
      <c r="AB22" s="731"/>
      <c r="AC22" s="1891"/>
      <c r="AD22" s="731"/>
      <c r="AE22" s="1110"/>
      <c r="AF22" s="732">
        <f t="shared" si="16"/>
        <v>0</v>
      </c>
      <c r="AG22" s="1572">
        <f t="shared" si="25"/>
        <v>0.1</v>
      </c>
      <c r="AH22" s="1573">
        <f t="shared" si="48"/>
        <v>0</v>
      </c>
      <c r="AI22" s="1573">
        <f t="shared" si="26"/>
        <v>0</v>
      </c>
      <c r="AJ22" s="734">
        <f t="shared" si="17"/>
        <v>0.32</v>
      </c>
      <c r="AK22" s="2108">
        <f>AK15</f>
        <v>0</v>
      </c>
      <c r="AL22" s="741">
        <f t="shared" si="27"/>
        <v>0</v>
      </c>
      <c r="AM22" s="735">
        <f t="shared" si="18"/>
        <v>0</v>
      </c>
      <c r="AN22" s="730">
        <f t="shared" si="3"/>
        <v>0</v>
      </c>
      <c r="AO22" s="731"/>
      <c r="AP22" s="2118">
        <f t="shared" si="37"/>
        <v>0</v>
      </c>
      <c r="AQ22" s="2119">
        <f t="shared" si="28"/>
        <v>0</v>
      </c>
      <c r="AR22" s="2120">
        <f t="shared" si="38"/>
        <v>0</v>
      </c>
      <c r="AS22" s="2117"/>
      <c r="AT22" s="2118">
        <f t="shared" si="39"/>
        <v>0</v>
      </c>
      <c r="AU22" s="2119">
        <f t="shared" si="29"/>
        <v>0</v>
      </c>
      <c r="AV22" s="2120">
        <f t="shared" si="40"/>
        <v>0</v>
      </c>
      <c r="AW22" s="2117"/>
      <c r="AX22" s="2118">
        <f t="shared" si="41"/>
        <v>0</v>
      </c>
      <c r="AY22" s="2119">
        <f t="shared" si="30"/>
        <v>0</v>
      </c>
      <c r="AZ22" s="2120">
        <f t="shared" si="42"/>
        <v>0</v>
      </c>
      <c r="BA22" s="2117"/>
      <c r="BB22" s="2118">
        <f t="shared" si="43"/>
        <v>0</v>
      </c>
      <c r="BC22" s="2119">
        <f t="shared" si="31"/>
        <v>0</v>
      </c>
      <c r="BD22" s="2120">
        <f t="shared" si="44"/>
        <v>0</v>
      </c>
      <c r="BE22" s="731"/>
      <c r="BF22" s="1891"/>
      <c r="BG22" s="731"/>
      <c r="BH22" s="1110"/>
      <c r="BI22" s="732">
        <f t="shared" si="19"/>
        <v>0</v>
      </c>
      <c r="BJ22" s="734">
        <f t="shared" si="20"/>
        <v>0.32</v>
      </c>
      <c r="BK22" s="2108">
        <f>BK15</f>
        <v>0</v>
      </c>
      <c r="BL22" s="741">
        <f t="shared" si="32"/>
        <v>0</v>
      </c>
      <c r="BM22" s="735">
        <f t="shared" si="21"/>
        <v>0</v>
      </c>
      <c r="BN22" s="736">
        <f t="shared" si="4"/>
        <v>0</v>
      </c>
      <c r="BO22" s="731"/>
      <c r="BP22" s="1110"/>
      <c r="BQ22" s="732">
        <f t="shared" si="1"/>
        <v>0</v>
      </c>
      <c r="BR22" s="734">
        <f t="shared" si="33"/>
        <v>0.32</v>
      </c>
      <c r="BS22" s="2108">
        <f>BS15</f>
        <v>0</v>
      </c>
      <c r="BT22" s="741">
        <f t="shared" si="34"/>
        <v>0</v>
      </c>
      <c r="BU22" s="735">
        <f t="shared" si="5"/>
        <v>0</v>
      </c>
      <c r="BV22" s="736">
        <f t="shared" si="6"/>
        <v>0</v>
      </c>
      <c r="BW22" s="731"/>
      <c r="BX22" s="1110"/>
      <c r="BY22" s="732">
        <f t="shared" si="2"/>
        <v>0</v>
      </c>
      <c r="BZ22" s="734">
        <f t="shared" si="35"/>
        <v>0.32</v>
      </c>
      <c r="CA22" s="2108">
        <f>CA15</f>
        <v>0</v>
      </c>
      <c r="CB22" s="741">
        <f t="shared" si="36"/>
        <v>0</v>
      </c>
      <c r="CC22" s="735">
        <f t="shared" si="7"/>
        <v>0</v>
      </c>
      <c r="CD22" s="736">
        <f t="shared" si="8"/>
        <v>0</v>
      </c>
      <c r="CE22" s="729"/>
      <c r="CF22" s="729"/>
      <c r="CG22" s="729"/>
      <c r="CH22" s="729"/>
      <c r="CI22" s="729"/>
      <c r="CJ22" s="729"/>
      <c r="CK22" s="729"/>
      <c r="CL22" s="729"/>
      <c r="CM22" s="729"/>
      <c r="CN22" s="729"/>
      <c r="CO22" s="729"/>
      <c r="CP22" s="729"/>
      <c r="CQ22" s="729"/>
      <c r="CR22" s="729"/>
      <c r="CS22" s="729"/>
      <c r="CT22" s="729"/>
      <c r="CU22" s="729"/>
      <c r="CV22" s="729"/>
      <c r="CW22" s="729"/>
      <c r="CX22" s="729"/>
      <c r="CY22" s="729"/>
      <c r="CZ22" s="729"/>
      <c r="DA22" s="729"/>
      <c r="DB22" s="729"/>
      <c r="DC22" s="729"/>
      <c r="DD22" s="729"/>
      <c r="DE22" s="729"/>
      <c r="DF22" s="729"/>
      <c r="DG22" s="729"/>
      <c r="DH22" s="729"/>
      <c r="DI22" s="729"/>
      <c r="DJ22" s="729"/>
      <c r="DK22" s="729"/>
      <c r="DL22" s="729"/>
      <c r="DM22" s="729"/>
      <c r="DN22" s="729"/>
    </row>
    <row r="23" spans="1:118" ht="20.100000000000001" customHeight="1" thickBot="1">
      <c r="A23" s="1902" t="s">
        <v>298</v>
      </c>
      <c r="B23" s="2164"/>
      <c r="C23" s="2168">
        <f>SUM(C15:C22)</f>
        <v>0</v>
      </c>
      <c r="D23" s="1904"/>
      <c r="E23" s="1905">
        <f>SUM(E15:E22)</f>
        <v>0</v>
      </c>
      <c r="F23" s="1904"/>
      <c r="G23" s="1905">
        <f>SUM(G15:G22)</f>
        <v>0</v>
      </c>
      <c r="H23" s="1906"/>
      <c r="I23" s="1903">
        <f>SUM(I15:I22)</f>
        <v>0</v>
      </c>
      <c r="J23" s="1907">
        <f>SUM(J15:J22)</f>
        <v>0</v>
      </c>
      <c r="K23" s="1908">
        <f>SUM(K15:K22)</f>
        <v>0</v>
      </c>
      <c r="L23" s="1404"/>
      <c r="M23" s="2125">
        <f>SUM(M15:M22)</f>
        <v>0</v>
      </c>
      <c r="N23" s="2126">
        <f>SUM(N15:N22)</f>
        <v>0</v>
      </c>
      <c r="O23" s="2127">
        <f>SUM(O15:O22)</f>
        <v>0</v>
      </c>
      <c r="P23" s="2124"/>
      <c r="Q23" s="2125">
        <f>SUM(Q15:Q22)</f>
        <v>0</v>
      </c>
      <c r="R23" s="2126">
        <f>SUM(R15:R22)</f>
        <v>0</v>
      </c>
      <c r="S23" s="2127">
        <f>SUM(S15:S22)</f>
        <v>0</v>
      </c>
      <c r="T23" s="2124"/>
      <c r="U23" s="2125">
        <f>SUM(U15:U22)</f>
        <v>0</v>
      </c>
      <c r="V23" s="2126">
        <f>SUM(V15:V22)</f>
        <v>0</v>
      </c>
      <c r="W23" s="2127">
        <f>SUM(W15:W22)</f>
        <v>0</v>
      </c>
      <c r="X23" s="2124"/>
      <c r="Y23" s="2125">
        <f>SUM(Y15:Y22)</f>
        <v>0</v>
      </c>
      <c r="Z23" s="2126">
        <f>SUM(Z15:Z22)</f>
        <v>0</v>
      </c>
      <c r="AA23" s="2127">
        <f>SUM(AA15:AA22)</f>
        <v>0</v>
      </c>
      <c r="AB23" s="738"/>
      <c r="AC23" s="1892"/>
      <c r="AD23" s="738"/>
      <c r="AE23" s="1914"/>
      <c r="AF23" s="1903">
        <f>SUM(AF15:AF22)</f>
        <v>0</v>
      </c>
      <c r="AG23" s="1904"/>
      <c r="AH23" s="1905">
        <f>SUM(AH15:AH22)</f>
        <v>0</v>
      </c>
      <c r="AI23" s="1905">
        <f>SUM(AI15:AI22)</f>
        <v>0</v>
      </c>
      <c r="AJ23" s="1915"/>
      <c r="AK23" s="1915"/>
      <c r="AL23" s="1916">
        <f>SUM(AL15:AL22)</f>
        <v>0</v>
      </c>
      <c r="AM23" s="1916">
        <f>SUM(AM15:AM22)</f>
        <v>0</v>
      </c>
      <c r="AN23" s="1917">
        <f>SUM(AN15:AN22)</f>
        <v>0</v>
      </c>
      <c r="AO23" s="738"/>
      <c r="AP23" s="2125">
        <f>SUM(AP15:AP22)</f>
        <v>0</v>
      </c>
      <c r="AQ23" s="2126">
        <f>SUM(AQ15:AQ22)</f>
        <v>0</v>
      </c>
      <c r="AR23" s="2127">
        <f>SUM(AR15:AR22)</f>
        <v>0</v>
      </c>
      <c r="AS23" s="2124"/>
      <c r="AT23" s="2125">
        <f>SUM(AT15:AT22)</f>
        <v>0</v>
      </c>
      <c r="AU23" s="2126">
        <f>SUM(AU15:AU22)</f>
        <v>0</v>
      </c>
      <c r="AV23" s="2127">
        <f>SUM(AV15:AV22)</f>
        <v>0</v>
      </c>
      <c r="AW23" s="2124"/>
      <c r="AX23" s="2125">
        <f>SUM(AX15:AX22)</f>
        <v>0</v>
      </c>
      <c r="AY23" s="2126">
        <f>SUM(AY15:AY22)</f>
        <v>0</v>
      </c>
      <c r="AZ23" s="2127">
        <f>SUM(AZ15:AZ22)</f>
        <v>0</v>
      </c>
      <c r="BA23" s="2124"/>
      <c r="BB23" s="2125">
        <f>SUM(BB15:BB22)</f>
        <v>0</v>
      </c>
      <c r="BC23" s="2126">
        <f>SUM(BC15:BC22)</f>
        <v>0</v>
      </c>
      <c r="BD23" s="2127">
        <f>SUM(BD15:BD22)</f>
        <v>0</v>
      </c>
      <c r="BE23" s="738"/>
      <c r="BF23" s="1892"/>
      <c r="BG23" s="738"/>
      <c r="BH23" s="1914"/>
      <c r="BI23" s="1907">
        <f>SUM(BI15:BI22)</f>
        <v>0</v>
      </c>
      <c r="BJ23" s="1915"/>
      <c r="BK23" s="1918"/>
      <c r="BL23" s="1919">
        <f>SUM(BL15:BL22)</f>
        <v>0</v>
      </c>
      <c r="BM23" s="1919">
        <f>SUM(BM15:BM22)</f>
        <v>0</v>
      </c>
      <c r="BN23" s="1917">
        <f>SUM(BN15:BN22)</f>
        <v>0</v>
      </c>
      <c r="BO23" s="738"/>
      <c r="BP23" s="1914"/>
      <c r="BQ23" s="1907">
        <f>SUM(BQ15:BQ22)</f>
        <v>0</v>
      </c>
      <c r="BR23" s="1915"/>
      <c r="BS23" s="1918"/>
      <c r="BT23" s="1919">
        <f>SUM(BT15:BT22)</f>
        <v>0</v>
      </c>
      <c r="BU23" s="1919">
        <f>SUM(BU15:BU22)</f>
        <v>0</v>
      </c>
      <c r="BV23" s="1917">
        <f>SUM(BV15:BV22)</f>
        <v>0</v>
      </c>
      <c r="BW23" s="738"/>
      <c r="BX23" s="1914"/>
      <c r="BY23" s="1907">
        <f>SUM(BY15:BY22)</f>
        <v>0</v>
      </c>
      <c r="BZ23" s="1915"/>
      <c r="CA23" s="1918"/>
      <c r="CB23" s="1919">
        <f>SUM(CB15:CB22)</f>
        <v>0</v>
      </c>
      <c r="CC23" s="1919">
        <f>SUM(CC15:CC22)</f>
        <v>0</v>
      </c>
      <c r="CD23" s="1917">
        <f>SUM(CD15:CD22)</f>
        <v>0</v>
      </c>
      <c r="CE23" s="729"/>
      <c r="CF23" s="729"/>
      <c r="CG23" s="729"/>
      <c r="CH23" s="729"/>
      <c r="CI23" s="729"/>
      <c r="CJ23" s="729"/>
      <c r="CK23" s="729"/>
      <c r="CL23" s="729"/>
      <c r="CM23" s="729"/>
      <c r="CN23" s="729"/>
      <c r="CO23" s="729"/>
      <c r="CP23" s="729"/>
      <c r="CQ23" s="729"/>
      <c r="CR23" s="729"/>
      <c r="CS23" s="729"/>
      <c r="CT23" s="729"/>
      <c r="CU23" s="729"/>
      <c r="CV23" s="729"/>
      <c r="CW23" s="729"/>
      <c r="CX23" s="729"/>
      <c r="CY23" s="729"/>
      <c r="CZ23" s="729"/>
      <c r="DA23" s="729"/>
      <c r="DB23" s="729"/>
      <c r="DC23" s="729"/>
      <c r="DD23" s="729"/>
      <c r="DE23" s="729"/>
      <c r="DF23" s="729"/>
      <c r="DG23" s="729"/>
      <c r="DH23" s="729"/>
      <c r="DI23" s="729"/>
      <c r="DJ23" s="729"/>
      <c r="DK23" s="729"/>
      <c r="DL23" s="729"/>
      <c r="DM23" s="729"/>
      <c r="DN23" s="729"/>
    </row>
    <row r="24" spans="1:118" ht="19.5" customHeight="1" thickTop="1" thickBot="1">
      <c r="A24" s="743" t="s">
        <v>299</v>
      </c>
      <c r="B24" s="2164"/>
      <c r="C24" s="744">
        <f>C14+C23</f>
        <v>0</v>
      </c>
      <c r="D24" s="1574"/>
      <c r="E24" s="1575">
        <f>E14+E23</f>
        <v>0</v>
      </c>
      <c r="F24" s="1574"/>
      <c r="G24" s="1575">
        <f>G14+G23</f>
        <v>0</v>
      </c>
      <c r="H24" s="1909"/>
      <c r="I24" s="745">
        <f>I14+I23</f>
        <v>0</v>
      </c>
      <c r="J24" s="745">
        <f>J14+J23</f>
        <v>0</v>
      </c>
      <c r="K24" s="746">
        <f>K14+K23</f>
        <v>0</v>
      </c>
      <c r="L24" s="1405"/>
      <c r="M24" s="2128">
        <f>M14+M23</f>
        <v>0</v>
      </c>
      <c r="N24" s="2129">
        <f>N14+N23</f>
        <v>0</v>
      </c>
      <c r="O24" s="2130">
        <f>O14+O23</f>
        <v>0</v>
      </c>
      <c r="P24" s="2131"/>
      <c r="Q24" s="2128">
        <f>Q14+Q23</f>
        <v>0</v>
      </c>
      <c r="R24" s="2129">
        <f>R14+R23</f>
        <v>0</v>
      </c>
      <c r="S24" s="2130">
        <f>S14+S23</f>
        <v>0</v>
      </c>
      <c r="T24" s="2131"/>
      <c r="U24" s="2128">
        <f>U14+U23</f>
        <v>0</v>
      </c>
      <c r="V24" s="2129">
        <f>V14+V23</f>
        <v>0</v>
      </c>
      <c r="W24" s="2130">
        <f>W14+W23</f>
        <v>0</v>
      </c>
      <c r="X24" s="2131"/>
      <c r="Y24" s="2128">
        <f>Y14+Y23</f>
        <v>0</v>
      </c>
      <c r="Z24" s="2129">
        <f>Z14+Z23</f>
        <v>0</v>
      </c>
      <c r="AA24" s="2130">
        <f>AA14+AA23</f>
        <v>0</v>
      </c>
      <c r="AB24" s="738"/>
      <c r="AC24" s="1892"/>
      <c r="AD24" s="738"/>
      <c r="AE24" s="1910"/>
      <c r="AF24" s="745">
        <f>AF14+AF23</f>
        <v>0</v>
      </c>
      <c r="AG24" s="1576"/>
      <c r="AH24" s="1577">
        <f>AH14+AH23</f>
        <v>0</v>
      </c>
      <c r="AI24" s="1575">
        <f>AI14+AI23</f>
        <v>0</v>
      </c>
      <c r="AJ24" s="1571"/>
      <c r="AK24" s="1571"/>
      <c r="AL24" s="745">
        <f>AL14+AL23</f>
        <v>0</v>
      </c>
      <c r="AM24" s="745">
        <f>AM14+AM23</f>
        <v>0</v>
      </c>
      <c r="AN24" s="747">
        <f>AN14+AN23</f>
        <v>0</v>
      </c>
      <c r="AO24" s="755"/>
      <c r="AP24" s="2128">
        <f>AP14+AP23</f>
        <v>0</v>
      </c>
      <c r="AQ24" s="2129">
        <f>AQ14+AQ23</f>
        <v>0</v>
      </c>
      <c r="AR24" s="2130">
        <f>AR14+AR23</f>
        <v>0</v>
      </c>
      <c r="AS24" s="2131"/>
      <c r="AT24" s="2128">
        <f>AT14+AT23</f>
        <v>0</v>
      </c>
      <c r="AU24" s="2129">
        <f>AU14+AU23</f>
        <v>0</v>
      </c>
      <c r="AV24" s="2130">
        <f>AV14+AV23</f>
        <v>0</v>
      </c>
      <c r="AW24" s="2131"/>
      <c r="AX24" s="2128">
        <f>AX14+AX23</f>
        <v>0</v>
      </c>
      <c r="AY24" s="2129">
        <f>AY14+AY23</f>
        <v>0</v>
      </c>
      <c r="AZ24" s="2130">
        <f>AZ14+AZ23</f>
        <v>0</v>
      </c>
      <c r="BA24" s="2131"/>
      <c r="BB24" s="2128">
        <f>BB14+BB23</f>
        <v>0</v>
      </c>
      <c r="BC24" s="2129">
        <f>BC14+BC23</f>
        <v>0</v>
      </c>
      <c r="BD24" s="2130">
        <f>BD14+BD23</f>
        <v>0</v>
      </c>
      <c r="BE24" s="755"/>
      <c r="BF24" s="1892"/>
      <c r="BG24" s="738"/>
      <c r="BH24" s="790"/>
      <c r="BI24" s="745">
        <f>BI14+BI23</f>
        <v>0</v>
      </c>
      <c r="BJ24" s="745">
        <f>BJ14+BJ23</f>
        <v>0</v>
      </c>
      <c r="BK24" s="789"/>
      <c r="BL24" s="747">
        <f>BL14+BL23</f>
        <v>0</v>
      </c>
      <c r="BM24" s="744">
        <f>BM14+BM23</f>
        <v>0</v>
      </c>
      <c r="BN24" s="746">
        <f>BN14+BN23</f>
        <v>0</v>
      </c>
      <c r="BO24" s="738"/>
      <c r="BP24" s="790"/>
      <c r="BQ24" s="745">
        <f>BQ14+BQ23</f>
        <v>0</v>
      </c>
      <c r="BR24" s="745">
        <f>BR14+BR23</f>
        <v>0</v>
      </c>
      <c r="BS24" s="789"/>
      <c r="BT24" s="747">
        <f>BT14+BT23</f>
        <v>0</v>
      </c>
      <c r="BU24" s="744">
        <f>BU14+BU23</f>
        <v>0</v>
      </c>
      <c r="BV24" s="745">
        <f>BV14+BV23</f>
        <v>0</v>
      </c>
      <c r="BW24" s="738"/>
      <c r="BX24" s="790"/>
      <c r="BY24" s="745">
        <f>BY14+BY23</f>
        <v>0</v>
      </c>
      <c r="BZ24" s="745">
        <f>BZ14+BZ23</f>
        <v>0</v>
      </c>
      <c r="CA24" s="789"/>
      <c r="CB24" s="747">
        <f>CB14+CB23</f>
        <v>0</v>
      </c>
      <c r="CC24" s="744">
        <f>CC14+CC23</f>
        <v>0</v>
      </c>
      <c r="CD24" s="745">
        <f>CD14+CD23</f>
        <v>0</v>
      </c>
      <c r="CE24" s="729"/>
      <c r="CF24" s="729"/>
      <c r="CG24" s="729"/>
      <c r="CH24" s="729"/>
      <c r="CI24" s="729"/>
      <c r="CJ24" s="729"/>
      <c r="CK24" s="729"/>
      <c r="CL24" s="729"/>
      <c r="CM24" s="729"/>
      <c r="CN24" s="729"/>
      <c r="CO24" s="729"/>
      <c r="CP24" s="729"/>
      <c r="CQ24" s="729"/>
      <c r="CR24" s="729"/>
      <c r="CS24" s="729"/>
      <c r="CT24" s="729"/>
      <c r="CU24" s="729"/>
      <c r="CV24" s="729"/>
      <c r="CW24" s="729"/>
      <c r="CX24" s="729"/>
      <c r="CY24" s="729"/>
      <c r="CZ24" s="729"/>
      <c r="DA24" s="729"/>
      <c r="DB24" s="729"/>
      <c r="DC24" s="729"/>
      <c r="DD24" s="729"/>
      <c r="DE24" s="729"/>
      <c r="DF24" s="729"/>
      <c r="DG24" s="729"/>
      <c r="DH24" s="729"/>
      <c r="DI24" s="729"/>
      <c r="DJ24" s="729"/>
      <c r="DK24" s="729"/>
      <c r="DL24" s="729"/>
      <c r="DM24" s="729"/>
      <c r="DN24" s="729"/>
    </row>
    <row r="25" spans="1:118" s="418" customFormat="1" ht="19.5" customHeight="1" thickTop="1" thickBot="1">
      <c r="A25" s="748"/>
      <c r="B25" s="748"/>
      <c r="C25" s="2133"/>
      <c r="D25" s="2134"/>
      <c r="E25" s="2134"/>
      <c r="F25" s="2134"/>
      <c r="G25" s="2134"/>
      <c r="H25" s="2135"/>
      <c r="I25" s="2135"/>
      <c r="J25" s="2135"/>
      <c r="K25" s="2135"/>
      <c r="L25" s="2135"/>
      <c r="M25" s="2136"/>
      <c r="N25" s="2136"/>
      <c r="O25" s="2136"/>
      <c r="P25" s="2135"/>
      <c r="Q25" s="2136"/>
      <c r="R25" s="2136"/>
      <c r="S25" s="2136"/>
      <c r="T25" s="2135"/>
      <c r="U25" s="2136"/>
      <c r="V25" s="2136"/>
      <c r="W25" s="2136"/>
      <c r="X25" s="2135"/>
      <c r="Y25" s="2136"/>
      <c r="Z25" s="2136"/>
      <c r="AA25" s="2137"/>
      <c r="AB25" s="738"/>
      <c r="AC25" s="1892"/>
      <c r="AD25" s="738"/>
      <c r="AE25" s="2138"/>
      <c r="AF25" s="2139"/>
      <c r="AG25" s="2140"/>
      <c r="AH25" s="2140"/>
      <c r="AI25" s="2140"/>
      <c r="AJ25" s="2139"/>
      <c r="AK25" s="2139"/>
      <c r="AL25" s="2139"/>
      <c r="AM25" s="2139"/>
      <c r="AN25" s="2139"/>
      <c r="AO25" s="2139"/>
      <c r="AP25" s="2141"/>
      <c r="AQ25" s="2141"/>
      <c r="AR25" s="2141"/>
      <c r="AS25" s="2139"/>
      <c r="AT25" s="2141"/>
      <c r="AU25" s="2141"/>
      <c r="AV25" s="2141"/>
      <c r="AW25" s="2139"/>
      <c r="AX25" s="2141"/>
      <c r="AY25" s="2141"/>
      <c r="AZ25" s="2141"/>
      <c r="BA25" s="2139"/>
      <c r="BB25" s="2141"/>
      <c r="BC25" s="2141"/>
      <c r="BD25" s="2142"/>
      <c r="BE25" s="738"/>
      <c r="BF25" s="1892"/>
      <c r="BG25" s="738"/>
      <c r="BH25" s="738"/>
      <c r="BI25" s="738"/>
      <c r="BJ25" s="738"/>
      <c r="BK25" s="738"/>
      <c r="BL25" s="738"/>
      <c r="BM25" s="738"/>
      <c r="BN25" s="738"/>
      <c r="BO25" s="738"/>
      <c r="BP25" s="738"/>
      <c r="BQ25" s="738"/>
      <c r="BR25" s="738"/>
      <c r="BS25" s="738"/>
      <c r="BT25" s="738"/>
      <c r="BU25" s="738"/>
      <c r="BV25" s="738"/>
      <c r="BW25" s="738"/>
      <c r="BX25" s="738"/>
      <c r="BY25" s="738"/>
      <c r="BZ25" s="738"/>
      <c r="CA25" s="738"/>
      <c r="CB25" s="738"/>
      <c r="CC25" s="738"/>
      <c r="CD25" s="738"/>
      <c r="CE25" s="737"/>
      <c r="CF25" s="737"/>
      <c r="CG25" s="737"/>
      <c r="CH25" s="737"/>
      <c r="CI25" s="737"/>
      <c r="CJ25" s="1286"/>
      <c r="CK25" s="1286"/>
      <c r="CL25" s="1286"/>
      <c r="CM25" s="737"/>
      <c r="CN25" s="737"/>
      <c r="CO25" s="737"/>
      <c r="CP25" s="737"/>
      <c r="CQ25" s="737"/>
      <c r="CR25" s="737"/>
      <c r="CS25" s="737"/>
      <c r="CT25" s="737"/>
      <c r="CU25" s="737"/>
      <c r="CV25" s="737"/>
      <c r="CW25" s="737"/>
      <c r="CX25" s="737"/>
      <c r="CY25" s="737"/>
      <c r="CZ25" s="737"/>
      <c r="DA25" s="737"/>
      <c r="DB25" s="737"/>
      <c r="DC25" s="737"/>
      <c r="DD25" s="737"/>
      <c r="DE25" s="737"/>
      <c r="DF25" s="737"/>
      <c r="DG25" s="737"/>
      <c r="DH25" s="737"/>
      <c r="DI25" s="737"/>
      <c r="DJ25" s="737"/>
      <c r="DK25" s="737"/>
      <c r="DL25" s="737"/>
      <c r="DM25" s="737"/>
      <c r="DN25" s="737"/>
    </row>
    <row r="26" spans="1:118" s="418" customFormat="1" ht="19.5" customHeight="1" thickBot="1">
      <c r="A26" s="748"/>
      <c r="B26" s="748"/>
      <c r="C26" s="738"/>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1892"/>
      <c r="AD26" s="738"/>
      <c r="AE26" s="738"/>
      <c r="AF26" s="738"/>
      <c r="AG26" s="738"/>
      <c r="AH26" s="738"/>
      <c r="AI26" s="738"/>
      <c r="AJ26" s="738"/>
      <c r="AK26" s="738"/>
      <c r="AL26" s="738"/>
      <c r="AM26" s="738"/>
      <c r="AN26" s="738"/>
      <c r="AO26" s="738"/>
      <c r="AP26" s="738"/>
      <c r="AQ26" s="738"/>
      <c r="AR26" s="738"/>
      <c r="AS26" s="738"/>
      <c r="AT26" s="738"/>
      <c r="AU26" s="738"/>
      <c r="AV26" s="738"/>
      <c r="AW26" s="738"/>
      <c r="AX26" s="738"/>
      <c r="AY26" s="738"/>
      <c r="AZ26" s="738"/>
      <c r="BA26" s="738"/>
      <c r="BB26" s="738"/>
      <c r="BC26" s="738"/>
      <c r="BD26" s="738"/>
      <c r="BE26" s="738"/>
      <c r="BF26" s="1892"/>
      <c r="BG26" s="738"/>
      <c r="BH26" s="738"/>
      <c r="BI26" s="738"/>
      <c r="BJ26" s="738"/>
      <c r="BK26" s="738"/>
      <c r="BL26" s="738"/>
      <c r="BM26" s="738"/>
      <c r="BN26" s="738"/>
      <c r="BO26" s="738"/>
      <c r="BP26" s="738"/>
      <c r="BQ26" s="738"/>
      <c r="BR26" s="738"/>
      <c r="BS26" s="738"/>
      <c r="BT26" s="738"/>
      <c r="BU26" s="738"/>
      <c r="BV26" s="738"/>
      <c r="BW26" s="738"/>
      <c r="BX26" s="738"/>
      <c r="BY26" s="738"/>
      <c r="BZ26" s="738"/>
      <c r="CA26" s="738"/>
      <c r="CB26" s="738"/>
      <c r="CC26" s="738"/>
      <c r="CD26" s="738"/>
      <c r="CE26" s="737"/>
      <c r="CF26" s="737"/>
      <c r="CG26" s="737"/>
      <c r="CH26" s="737"/>
      <c r="CI26" s="737"/>
      <c r="CJ26" s="1286"/>
      <c r="CK26" s="1286"/>
      <c r="CL26" s="1286"/>
      <c r="CM26" s="737"/>
      <c r="CN26" s="737"/>
      <c r="CO26" s="737"/>
      <c r="CP26" s="737"/>
      <c r="CQ26" s="737"/>
      <c r="CR26" s="737"/>
      <c r="CS26" s="737"/>
      <c r="CT26" s="737"/>
      <c r="CU26" s="737"/>
      <c r="CV26" s="737"/>
      <c r="CW26" s="737"/>
      <c r="CX26" s="737"/>
      <c r="CY26" s="737"/>
      <c r="CZ26" s="737"/>
      <c r="DA26" s="737"/>
      <c r="DB26" s="737"/>
      <c r="DC26" s="737"/>
      <c r="DD26" s="737"/>
      <c r="DE26" s="737"/>
      <c r="DF26" s="737"/>
      <c r="DG26" s="737"/>
      <c r="DH26" s="737"/>
      <c r="DI26" s="737"/>
      <c r="DJ26" s="737"/>
      <c r="DK26" s="737"/>
      <c r="DL26" s="737"/>
      <c r="DM26" s="737"/>
      <c r="DN26" s="737"/>
    </row>
    <row r="27" spans="1:118" s="418" customFormat="1" ht="19.5" customHeight="1" thickTop="1">
      <c r="A27" s="3562" t="s">
        <v>345</v>
      </c>
      <c r="B27" s="3563"/>
      <c r="C27" s="3564"/>
      <c r="D27" s="1920"/>
      <c r="E27" s="1921"/>
      <c r="F27" s="1921"/>
      <c r="G27" s="1922"/>
      <c r="H27" s="3550" t="str">
        <f>O4</f>
        <v>1º Ejercicio 0</v>
      </c>
      <c r="I27" s="3547" t="str">
        <f>AP4</f>
        <v>2º Ejercicio 1</v>
      </c>
      <c r="AC27" s="2144"/>
      <c r="AD27" s="749"/>
      <c r="AE27" s="738"/>
      <c r="AF27" s="738"/>
      <c r="AG27" s="738"/>
      <c r="AH27" s="738"/>
      <c r="AI27" s="738"/>
      <c r="AJ27" s="738"/>
      <c r="AK27" s="738"/>
      <c r="AL27" s="738"/>
      <c r="AM27" s="738"/>
      <c r="AN27" s="738"/>
      <c r="AO27" s="738"/>
      <c r="AP27" s="738"/>
      <c r="AQ27" s="738"/>
      <c r="AR27" s="738"/>
      <c r="AS27" s="738"/>
      <c r="AT27" s="738"/>
      <c r="AU27" s="738"/>
      <c r="AV27" s="738"/>
      <c r="AW27" s="738"/>
      <c r="AX27" s="738"/>
      <c r="AY27" s="738"/>
      <c r="AZ27" s="738"/>
      <c r="BA27" s="738"/>
      <c r="BB27" s="738"/>
      <c r="BC27" s="738"/>
      <c r="BD27" s="738"/>
      <c r="BE27" s="738"/>
      <c r="BF27" s="1892"/>
      <c r="BG27" s="738"/>
      <c r="BH27" s="738"/>
      <c r="BI27" s="738"/>
      <c r="BJ27" s="738"/>
      <c r="BK27" s="738"/>
      <c r="BL27" s="738"/>
      <c r="BM27" s="738"/>
      <c r="BN27" s="738"/>
      <c r="BO27" s="738"/>
      <c r="BR27" s="738"/>
      <c r="BS27" s="738"/>
      <c r="BT27" s="738"/>
      <c r="BU27" s="738"/>
      <c r="BV27" s="738"/>
      <c r="BW27" s="738"/>
      <c r="BX27" s="738"/>
      <c r="BY27" s="738"/>
      <c r="BZ27" s="738"/>
      <c r="CA27" s="738"/>
      <c r="CB27" s="738"/>
      <c r="CC27" s="738"/>
      <c r="CD27" s="738"/>
      <c r="CE27" s="737"/>
      <c r="CF27" s="737"/>
      <c r="CG27" s="737"/>
      <c r="CH27" s="737"/>
      <c r="CI27" s="737"/>
      <c r="CJ27" s="3577" t="str">
        <f>BH8</f>
        <v>3º ejerc. 2</v>
      </c>
      <c r="CK27" s="3574" t="str">
        <f>BP8</f>
        <v>4º ejerc. 3</v>
      </c>
      <c r="CL27" s="3571" t="str">
        <f>BX8</f>
        <v>5º ejerc. 4</v>
      </c>
      <c r="CM27" s="737"/>
      <c r="CN27" s="737"/>
      <c r="CO27" s="737"/>
      <c r="CP27" s="737"/>
      <c r="CQ27" s="737"/>
      <c r="CR27" s="737"/>
      <c r="CS27" s="737"/>
      <c r="CT27" s="737"/>
      <c r="CU27" s="737"/>
      <c r="CV27" s="737"/>
      <c r="CW27" s="737"/>
      <c r="CX27" s="737"/>
      <c r="CY27" s="737"/>
      <c r="CZ27" s="737"/>
      <c r="DA27" s="737"/>
      <c r="DB27" s="737"/>
      <c r="DC27" s="737"/>
      <c r="DD27" s="737"/>
      <c r="DE27" s="737"/>
      <c r="DF27" s="737"/>
      <c r="DG27" s="737"/>
      <c r="DH27" s="737"/>
      <c r="DI27" s="737"/>
      <c r="DJ27" s="737"/>
      <c r="DK27" s="737"/>
      <c r="DL27" s="737"/>
      <c r="DM27" s="737"/>
      <c r="DN27" s="737"/>
    </row>
    <row r="28" spans="1:118" s="418" customFormat="1" ht="15" customHeight="1">
      <c r="A28" s="3565"/>
      <c r="B28" s="3566"/>
      <c r="C28" s="3567"/>
      <c r="D28" s="1923"/>
      <c r="E28" s="1924"/>
      <c r="F28" s="1924"/>
      <c r="G28" s="1925"/>
      <c r="H28" s="3551"/>
      <c r="I28" s="3548"/>
      <c r="AC28" s="2144"/>
      <c r="AD28" s="749"/>
      <c r="AE28" s="738"/>
      <c r="AF28" s="738"/>
      <c r="AG28" s="738"/>
      <c r="AH28" s="738"/>
      <c r="AI28" s="738"/>
      <c r="AJ28" s="738"/>
      <c r="AK28" s="738"/>
      <c r="AL28" s="738"/>
      <c r="AM28" s="738"/>
      <c r="AN28" s="738"/>
      <c r="AO28" s="738"/>
      <c r="AP28" s="738"/>
      <c r="AQ28" s="738"/>
      <c r="AR28" s="738"/>
      <c r="AS28" s="738"/>
      <c r="AT28" s="738"/>
      <c r="AU28" s="738"/>
      <c r="AV28" s="738"/>
      <c r="AW28" s="738"/>
      <c r="AX28" s="738"/>
      <c r="AY28" s="738"/>
      <c r="AZ28" s="738"/>
      <c r="BA28" s="738"/>
      <c r="BB28" s="738"/>
      <c r="BC28" s="738"/>
      <c r="BD28" s="738"/>
      <c r="BE28" s="738"/>
      <c r="BF28" s="1892"/>
      <c r="BG28" s="738"/>
      <c r="BH28" s="738"/>
      <c r="BI28" s="738"/>
      <c r="BJ28" s="738"/>
      <c r="BK28" s="738"/>
      <c r="BL28" s="738"/>
      <c r="BM28" s="738"/>
      <c r="BN28" s="738"/>
      <c r="BO28" s="738"/>
      <c r="BR28" s="738"/>
      <c r="BS28" s="738"/>
      <c r="BT28" s="738"/>
      <c r="BU28" s="738"/>
      <c r="BV28" s="738"/>
      <c r="BW28" s="738"/>
      <c r="BX28" s="738"/>
      <c r="BY28" s="738"/>
      <c r="BZ28" s="738"/>
      <c r="CA28" s="738"/>
      <c r="CB28" s="738"/>
      <c r="CC28" s="738"/>
      <c r="CD28" s="738"/>
      <c r="CE28" s="737"/>
      <c r="CF28" s="737"/>
      <c r="CG28" s="737"/>
      <c r="CH28" s="737"/>
      <c r="CI28" s="737"/>
      <c r="CJ28" s="3578"/>
      <c r="CK28" s="3575"/>
      <c r="CL28" s="3572"/>
      <c r="CM28" s="737"/>
      <c r="CN28" s="737"/>
      <c r="CO28" s="737"/>
      <c r="CP28" s="737"/>
      <c r="CQ28" s="737"/>
      <c r="CR28" s="737"/>
      <c r="CS28" s="737"/>
      <c r="CT28" s="737"/>
      <c r="CU28" s="737"/>
      <c r="CV28" s="737"/>
      <c r="CW28" s="737"/>
      <c r="CX28" s="737"/>
      <c r="CY28" s="737"/>
      <c r="CZ28" s="737"/>
      <c r="DA28" s="737"/>
      <c r="DB28" s="737"/>
      <c r="DC28" s="737"/>
      <c r="DD28" s="737"/>
      <c r="DE28" s="737"/>
      <c r="DF28" s="737"/>
      <c r="DG28" s="737"/>
      <c r="DH28" s="737"/>
      <c r="DI28" s="737"/>
      <c r="DJ28" s="737"/>
      <c r="DK28" s="737"/>
      <c r="DL28" s="737"/>
      <c r="DM28" s="737"/>
      <c r="DN28" s="737"/>
    </row>
    <row r="29" spans="1:118" s="418" customFormat="1" ht="24" customHeight="1" thickBot="1">
      <c r="A29" s="3568"/>
      <c r="B29" s="3569"/>
      <c r="C29" s="3570"/>
      <c r="D29" s="1923"/>
      <c r="E29" s="1924"/>
      <c r="F29" s="1924"/>
      <c r="G29" s="1925"/>
      <c r="H29" s="3552"/>
      <c r="I29" s="3549"/>
      <c r="AC29" s="2144"/>
      <c r="AD29" s="749"/>
      <c r="AE29" s="738"/>
      <c r="AF29" s="738"/>
      <c r="AG29" s="738"/>
      <c r="AH29" s="738"/>
      <c r="AI29" s="738"/>
      <c r="AJ29" s="738"/>
      <c r="AK29" s="738"/>
      <c r="AL29" s="738"/>
      <c r="AM29" s="738"/>
      <c r="AN29" s="738"/>
      <c r="AO29" s="738"/>
      <c r="AP29" s="738"/>
      <c r="AQ29" s="738"/>
      <c r="AR29" s="738"/>
      <c r="AS29" s="738"/>
      <c r="AT29" s="738"/>
      <c r="AU29" s="738"/>
      <c r="AV29" s="738"/>
      <c r="AW29" s="738"/>
      <c r="AX29" s="738"/>
      <c r="AY29" s="738"/>
      <c r="AZ29" s="738"/>
      <c r="BA29" s="738"/>
      <c r="BB29" s="738"/>
      <c r="BC29" s="738"/>
      <c r="BD29" s="738"/>
      <c r="BE29" s="738"/>
      <c r="BF29" s="1892"/>
      <c r="BG29" s="738"/>
      <c r="BH29" s="738"/>
      <c r="BI29" s="738"/>
      <c r="BJ29" s="738"/>
      <c r="BK29" s="738"/>
      <c r="BL29" s="738"/>
      <c r="BM29" s="738"/>
      <c r="BN29" s="738"/>
      <c r="BO29" s="738"/>
      <c r="BR29" s="738"/>
      <c r="BS29" s="738"/>
      <c r="BT29" s="738"/>
      <c r="BU29" s="738"/>
      <c r="BV29" s="738"/>
      <c r="BW29" s="738"/>
      <c r="BX29" s="738"/>
      <c r="BY29" s="738"/>
      <c r="BZ29" s="738"/>
      <c r="CA29" s="738"/>
      <c r="CB29" s="738"/>
      <c r="CC29" s="738"/>
      <c r="CD29" s="738"/>
      <c r="CE29" s="737"/>
      <c r="CF29" s="737"/>
      <c r="CG29" s="737"/>
      <c r="CH29" s="737"/>
      <c r="CI29" s="737"/>
      <c r="CJ29" s="3579"/>
      <c r="CK29" s="3576"/>
      <c r="CL29" s="3573"/>
      <c r="CM29" s="737"/>
      <c r="CN29" s="737"/>
      <c r="CO29" s="737"/>
      <c r="CP29" s="737"/>
      <c r="CQ29" s="737"/>
      <c r="CR29" s="737"/>
      <c r="CS29" s="737"/>
      <c r="CT29" s="737"/>
      <c r="CU29" s="737"/>
      <c r="CV29" s="737"/>
      <c r="CW29" s="737"/>
      <c r="CX29" s="737"/>
      <c r="CY29" s="737"/>
      <c r="CZ29" s="737"/>
      <c r="DA29" s="737"/>
      <c r="DB29" s="737"/>
      <c r="DC29" s="737"/>
      <c r="DD29" s="737"/>
      <c r="DE29" s="737"/>
      <c r="DF29" s="737"/>
      <c r="DG29" s="737"/>
      <c r="DH29" s="737"/>
      <c r="DI29" s="737"/>
      <c r="DJ29" s="737"/>
      <c r="DK29" s="737"/>
      <c r="DL29" s="737"/>
      <c r="DM29" s="737"/>
      <c r="DN29" s="737"/>
    </row>
    <row r="30" spans="1:118" s="418" customFormat="1" ht="34.5" customHeight="1" thickTop="1">
      <c r="A30" s="3553" t="s">
        <v>438</v>
      </c>
      <c r="B30" s="3554"/>
      <c r="C30" s="3555"/>
      <c r="D30" s="1566"/>
      <c r="E30" s="1567"/>
      <c r="F30" s="1567"/>
      <c r="G30" s="1568"/>
      <c r="H30" s="1882"/>
      <c r="I30" s="1883"/>
      <c r="AC30" s="2144"/>
      <c r="AD30" s="750"/>
      <c r="AE30" s="738"/>
      <c r="AF30" s="738"/>
      <c r="AG30" s="738"/>
      <c r="AH30" s="738"/>
      <c r="AI30" s="738"/>
      <c r="AJ30" s="738"/>
      <c r="AK30" s="738"/>
      <c r="AL30" s="738"/>
      <c r="AM30" s="738"/>
      <c r="AN30" s="738"/>
      <c r="AO30" s="738"/>
      <c r="AP30" s="738"/>
      <c r="AQ30" s="738"/>
      <c r="AR30" s="738"/>
      <c r="AS30" s="738"/>
      <c r="AT30" s="738"/>
      <c r="AU30" s="738"/>
      <c r="AV30" s="738"/>
      <c r="AW30" s="738"/>
      <c r="AX30" s="738"/>
      <c r="AY30" s="738"/>
      <c r="AZ30" s="738"/>
      <c r="BA30" s="738"/>
      <c r="BB30" s="738"/>
      <c r="BC30" s="738"/>
      <c r="BD30" s="738"/>
      <c r="BE30" s="738"/>
      <c r="BF30" s="1892"/>
      <c r="BG30" s="738"/>
      <c r="BH30" s="738"/>
      <c r="BI30" s="738"/>
      <c r="BJ30" s="738"/>
      <c r="BK30" s="738"/>
      <c r="BL30" s="738"/>
      <c r="BM30" s="738"/>
      <c r="BN30" s="738"/>
      <c r="BO30" s="738"/>
      <c r="BR30" s="738"/>
      <c r="BS30" s="738"/>
      <c r="BT30" s="738"/>
      <c r="BU30" s="738"/>
      <c r="BV30" s="738"/>
      <c r="BW30" s="738"/>
      <c r="BX30" s="738"/>
      <c r="BY30" s="738"/>
      <c r="BZ30" s="738"/>
      <c r="CA30" s="738"/>
      <c r="CB30" s="738"/>
      <c r="CC30" s="738"/>
      <c r="CD30" s="738"/>
      <c r="CE30" s="737"/>
      <c r="CF30" s="737"/>
      <c r="CG30" s="737"/>
      <c r="CH30" s="737"/>
      <c r="CI30" s="737"/>
      <c r="CJ30" s="1114"/>
      <c r="CK30" s="1112"/>
      <c r="CL30" s="1113"/>
      <c r="CM30" s="737"/>
      <c r="CN30" s="737"/>
      <c r="CO30" s="737"/>
      <c r="CP30" s="737"/>
      <c r="CQ30" s="737"/>
      <c r="CR30" s="737"/>
      <c r="CS30" s="737"/>
      <c r="CT30" s="737"/>
      <c r="CU30" s="737"/>
      <c r="CV30" s="737"/>
      <c r="CW30" s="737"/>
      <c r="CX30" s="737"/>
      <c r="CY30" s="737"/>
      <c r="CZ30" s="737"/>
      <c r="DA30" s="737"/>
      <c r="DB30" s="737"/>
      <c r="DC30" s="737"/>
      <c r="DD30" s="737"/>
      <c r="DE30" s="737"/>
      <c r="DF30" s="737"/>
      <c r="DG30" s="737"/>
      <c r="DH30" s="737"/>
      <c r="DI30" s="737"/>
      <c r="DJ30" s="737"/>
      <c r="DK30" s="737"/>
      <c r="DL30" s="737"/>
      <c r="DM30" s="737"/>
      <c r="DN30" s="737"/>
    </row>
    <row r="31" spans="1:118" s="418" customFormat="1" ht="34.5" customHeight="1" thickBot="1">
      <c r="A31" s="3556" t="s">
        <v>439</v>
      </c>
      <c r="B31" s="3557"/>
      <c r="C31" s="3558"/>
      <c r="D31" s="1566"/>
      <c r="E31" s="1567"/>
      <c r="F31" s="1567"/>
      <c r="G31" s="1568"/>
      <c r="H31" s="1884"/>
      <c r="I31" s="1885"/>
      <c r="AC31" s="2144"/>
      <c r="AD31" s="750"/>
      <c r="AE31" s="738"/>
      <c r="AF31" s="738"/>
      <c r="AG31" s="738"/>
      <c r="AH31" s="738"/>
      <c r="AI31" s="738"/>
      <c r="AJ31" s="738"/>
      <c r="AK31" s="738"/>
      <c r="AL31" s="738"/>
      <c r="AM31" s="738"/>
      <c r="AN31" s="738"/>
      <c r="AO31" s="738"/>
      <c r="AP31" s="738"/>
      <c r="AQ31" s="738"/>
      <c r="AR31" s="738"/>
      <c r="AS31" s="738"/>
      <c r="AT31" s="738"/>
      <c r="AU31" s="738"/>
      <c r="AV31" s="738"/>
      <c r="AW31" s="738"/>
      <c r="AX31" s="738"/>
      <c r="AY31" s="738"/>
      <c r="AZ31" s="738"/>
      <c r="BA31" s="738"/>
      <c r="BB31" s="738"/>
      <c r="BC31" s="738"/>
      <c r="BD31" s="738"/>
      <c r="BE31" s="738"/>
      <c r="BF31" s="1892"/>
      <c r="BG31" s="738"/>
      <c r="BH31" s="738"/>
      <c r="BI31" s="738"/>
      <c r="BJ31" s="738"/>
      <c r="BK31" s="738"/>
      <c r="BL31" s="738"/>
      <c r="BM31" s="738"/>
      <c r="BN31" s="738"/>
      <c r="BO31" s="738"/>
      <c r="BR31" s="738"/>
      <c r="BS31" s="738"/>
      <c r="BT31" s="738"/>
      <c r="BU31" s="738"/>
      <c r="BV31" s="738"/>
      <c r="BW31" s="738"/>
      <c r="BX31" s="738"/>
      <c r="BY31" s="738"/>
      <c r="BZ31" s="738"/>
      <c r="CA31" s="738"/>
      <c r="CB31" s="738"/>
      <c r="CC31" s="738"/>
      <c r="CD31" s="738"/>
      <c r="CE31" s="737"/>
      <c r="CF31" s="737"/>
      <c r="CG31" s="737"/>
      <c r="CH31" s="737"/>
      <c r="CI31" s="737"/>
      <c r="CJ31" s="1117"/>
      <c r="CK31" s="1115"/>
      <c r="CL31" s="1116"/>
      <c r="CM31" s="737"/>
      <c r="CN31" s="737"/>
      <c r="CO31" s="737"/>
      <c r="CP31" s="737"/>
      <c r="CQ31" s="737"/>
      <c r="CR31" s="737"/>
      <c r="CS31" s="737"/>
      <c r="CT31" s="737"/>
      <c r="CU31" s="737"/>
      <c r="CV31" s="737"/>
      <c r="CW31" s="737"/>
      <c r="CX31" s="737"/>
      <c r="CY31" s="737"/>
      <c r="CZ31" s="737"/>
      <c r="DA31" s="737"/>
      <c r="DB31" s="737"/>
      <c r="DC31" s="737"/>
      <c r="DD31" s="737"/>
      <c r="DE31" s="737"/>
      <c r="DF31" s="737"/>
      <c r="DG31" s="737"/>
      <c r="DH31" s="737"/>
      <c r="DI31" s="737"/>
      <c r="DJ31" s="737"/>
      <c r="DK31" s="737"/>
      <c r="DL31" s="737"/>
      <c r="DM31" s="737"/>
      <c r="DN31" s="737"/>
    </row>
    <row r="32" spans="1:118" s="418" customFormat="1" ht="34.5" customHeight="1" thickBot="1">
      <c r="A32" s="3559" t="s">
        <v>344</v>
      </c>
      <c r="B32" s="3560"/>
      <c r="C32" s="3561"/>
      <c r="D32" s="1569"/>
      <c r="E32" s="1570"/>
      <c r="F32" s="1570"/>
      <c r="G32" s="1579"/>
      <c r="H32" s="1565">
        <f>SUM(H30:H31)</f>
        <v>0</v>
      </c>
      <c r="I32" s="1292">
        <f>SUM(I30:I31)</f>
        <v>0</v>
      </c>
      <c r="AC32" s="2144"/>
      <c r="AD32" s="753"/>
      <c r="AE32" s="738"/>
      <c r="AF32" s="738"/>
      <c r="AG32" s="738"/>
      <c r="AH32" s="738"/>
      <c r="AI32" s="738"/>
      <c r="AJ32" s="738"/>
      <c r="AK32" s="738"/>
      <c r="AL32" s="738"/>
      <c r="AM32" s="738"/>
      <c r="AN32" s="738"/>
      <c r="AO32" s="738"/>
      <c r="AP32" s="738"/>
      <c r="AQ32" s="738"/>
      <c r="AR32" s="738"/>
      <c r="AS32" s="738"/>
      <c r="AT32" s="738"/>
      <c r="AU32" s="738"/>
      <c r="AV32" s="738"/>
      <c r="AW32" s="738"/>
      <c r="AX32" s="738"/>
      <c r="AY32" s="738"/>
      <c r="AZ32" s="738"/>
      <c r="BA32" s="738"/>
      <c r="BB32" s="738"/>
      <c r="BC32" s="738"/>
      <c r="BD32" s="738"/>
      <c r="BE32" s="738"/>
      <c r="BF32" s="1892"/>
      <c r="BG32" s="738"/>
      <c r="BH32" s="738"/>
      <c r="BI32" s="738"/>
      <c r="BJ32" s="738"/>
      <c r="BK32" s="738"/>
      <c r="BL32" s="738"/>
      <c r="BM32" s="738"/>
      <c r="BN32" s="738"/>
      <c r="BO32" s="738"/>
      <c r="BR32" s="738"/>
      <c r="BS32" s="738"/>
      <c r="BT32" s="738"/>
      <c r="BU32" s="738"/>
      <c r="BV32" s="738"/>
      <c r="BW32" s="738"/>
      <c r="BX32" s="738"/>
      <c r="BY32" s="738"/>
      <c r="BZ32" s="738"/>
      <c r="CA32" s="738"/>
      <c r="CB32" s="738"/>
      <c r="CC32" s="738"/>
      <c r="CD32" s="738"/>
      <c r="CE32" s="737"/>
      <c r="CF32" s="737"/>
      <c r="CG32" s="737"/>
      <c r="CH32" s="737"/>
      <c r="CI32" s="737"/>
      <c r="CJ32" s="1080">
        <f>SUM(CJ30:CJ31)</f>
        <v>0</v>
      </c>
      <c r="CK32" s="751">
        <f>SUM(CK30:CK31)</f>
        <v>0</v>
      </c>
      <c r="CL32" s="752">
        <f>SUM(CL30:CL31)</f>
        <v>0</v>
      </c>
      <c r="CM32" s="737"/>
      <c r="CN32" s="737"/>
      <c r="CO32" s="737"/>
      <c r="CP32" s="737"/>
      <c r="CQ32" s="737"/>
      <c r="CR32" s="737"/>
      <c r="CS32" s="737"/>
      <c r="CT32" s="737"/>
      <c r="CU32" s="737"/>
      <c r="CV32" s="737"/>
      <c r="CW32" s="737"/>
      <c r="CX32" s="737"/>
      <c r="CY32" s="737"/>
      <c r="CZ32" s="737"/>
      <c r="DA32" s="737"/>
      <c r="DB32" s="737"/>
      <c r="DC32" s="737"/>
      <c r="DD32" s="737"/>
      <c r="DE32" s="737"/>
      <c r="DF32" s="737"/>
      <c r="DG32" s="737"/>
      <c r="DH32" s="737"/>
      <c r="DI32" s="737"/>
      <c r="DJ32" s="737"/>
      <c r="DK32" s="737"/>
      <c r="DL32" s="737"/>
      <c r="DM32" s="737"/>
      <c r="DN32" s="737"/>
    </row>
    <row r="33" spans="1:118" ht="19.5" customHeight="1" thickTop="1">
      <c r="A33" s="754"/>
      <c r="B33" s="754"/>
      <c r="C33" s="755"/>
      <c r="D33" s="738"/>
      <c r="E33" s="738"/>
      <c r="F33" s="738"/>
      <c r="G33" s="755"/>
      <c r="H33" s="738"/>
      <c r="I33" s="738"/>
      <c r="J33" s="738"/>
      <c r="K33" s="738"/>
      <c r="L33" s="738"/>
      <c r="M33" s="738"/>
      <c r="N33" s="738"/>
      <c r="O33" s="738"/>
      <c r="P33" s="738"/>
      <c r="Q33" s="738"/>
      <c r="R33" s="738"/>
      <c r="S33" s="738"/>
      <c r="T33" s="738"/>
      <c r="U33" s="738"/>
      <c r="V33" s="738"/>
      <c r="W33" s="738"/>
      <c r="X33" s="738"/>
      <c r="Y33" s="738"/>
      <c r="Z33" s="738"/>
      <c r="AA33" s="738"/>
      <c r="AB33" s="738"/>
      <c r="AC33" s="1892"/>
      <c r="AD33" s="738"/>
      <c r="AE33" s="738"/>
      <c r="AF33" s="738"/>
      <c r="AG33" s="738"/>
      <c r="AH33" s="738"/>
      <c r="AI33" s="738"/>
      <c r="AJ33" s="738"/>
      <c r="AK33" s="738"/>
      <c r="AL33" s="738"/>
      <c r="AM33" s="738"/>
      <c r="AN33" s="738"/>
      <c r="AO33" s="738"/>
      <c r="AP33" s="738"/>
      <c r="AQ33" s="738"/>
      <c r="AR33" s="738"/>
      <c r="AS33" s="738"/>
      <c r="AT33" s="738"/>
      <c r="AU33" s="738"/>
      <c r="AV33" s="738"/>
      <c r="AW33" s="738"/>
      <c r="AX33" s="738"/>
      <c r="AY33" s="738"/>
      <c r="AZ33" s="738"/>
      <c r="BA33" s="738"/>
      <c r="BB33" s="738"/>
      <c r="BC33" s="738"/>
      <c r="BD33" s="738"/>
      <c r="BE33" s="738"/>
      <c r="BF33" s="1892"/>
      <c r="BG33" s="738"/>
      <c r="BH33" s="738"/>
      <c r="BI33" s="738"/>
      <c r="BJ33" s="738"/>
      <c r="BK33" s="738"/>
      <c r="BL33" s="738"/>
      <c r="BM33" s="738"/>
      <c r="BN33" s="738"/>
      <c r="BO33" s="738"/>
      <c r="BP33" s="738"/>
      <c r="BQ33" s="738"/>
      <c r="BR33" s="738"/>
      <c r="BS33" s="738"/>
      <c r="BT33" s="738"/>
      <c r="BU33" s="738"/>
      <c r="BV33" s="738"/>
      <c r="BW33" s="738"/>
      <c r="BX33" s="738"/>
      <c r="BY33" s="738"/>
      <c r="BZ33" s="738"/>
      <c r="CA33" s="738"/>
      <c r="CB33" s="738"/>
      <c r="CC33" s="738"/>
      <c r="CD33" s="738"/>
      <c r="CE33" s="729"/>
      <c r="CF33" s="729"/>
      <c r="CG33" s="729"/>
      <c r="CH33" s="729"/>
      <c r="CI33" s="729"/>
      <c r="CJ33" s="729"/>
      <c r="CK33" s="729"/>
      <c r="CL33" s="729"/>
      <c r="CM33" s="729"/>
      <c r="CN33" s="729"/>
      <c r="CO33" s="729"/>
      <c r="CP33" s="729"/>
      <c r="CQ33" s="729"/>
      <c r="CR33" s="729"/>
      <c r="CS33" s="729"/>
      <c r="CT33" s="729"/>
      <c r="CU33" s="729"/>
      <c r="CV33" s="729"/>
      <c r="CW33" s="729"/>
      <c r="CX33" s="729"/>
      <c r="CY33" s="729"/>
      <c r="CZ33" s="729"/>
      <c r="DA33" s="729"/>
      <c r="DB33" s="729"/>
      <c r="DC33" s="729"/>
      <c r="DD33" s="729"/>
      <c r="DE33" s="729"/>
      <c r="DF33" s="729"/>
      <c r="DG33" s="729"/>
      <c r="DH33" s="729"/>
      <c r="DI33" s="729"/>
      <c r="DJ33" s="729"/>
      <c r="DK33" s="729"/>
      <c r="DL33" s="729"/>
      <c r="DM33" s="729"/>
      <c r="DN33" s="729"/>
    </row>
    <row r="34" spans="1:118" s="2964" customFormat="1" ht="6" customHeight="1">
      <c r="A34" s="2961"/>
      <c r="B34" s="2961"/>
      <c r="C34" s="2962"/>
      <c r="D34" s="2962"/>
      <c r="E34" s="2962"/>
      <c r="F34" s="2962"/>
      <c r="G34" s="2962"/>
      <c r="H34" s="2962"/>
      <c r="I34" s="2962"/>
      <c r="J34" s="2962"/>
      <c r="K34" s="2962"/>
      <c r="L34" s="2962"/>
      <c r="M34" s="2962"/>
      <c r="N34" s="2962"/>
      <c r="O34" s="2962"/>
      <c r="P34" s="2962"/>
      <c r="Q34" s="2962"/>
      <c r="R34" s="2962"/>
      <c r="S34" s="2962"/>
      <c r="T34" s="2962"/>
      <c r="U34" s="2962"/>
      <c r="V34" s="2962"/>
      <c r="W34" s="2962"/>
      <c r="X34" s="2962"/>
      <c r="Y34" s="2962"/>
      <c r="Z34" s="2962"/>
      <c r="AA34" s="2962"/>
      <c r="AB34" s="2962"/>
      <c r="AC34" s="1892"/>
      <c r="AD34" s="2962"/>
      <c r="AE34" s="2962"/>
      <c r="AF34" s="2962"/>
      <c r="AG34" s="2962"/>
      <c r="AH34" s="2962"/>
      <c r="AI34" s="2962"/>
      <c r="AJ34" s="2962"/>
      <c r="AK34" s="2962"/>
      <c r="AL34" s="2962"/>
      <c r="AM34" s="2962"/>
      <c r="AN34" s="2962"/>
      <c r="AO34" s="2962"/>
      <c r="AP34" s="2962"/>
      <c r="AQ34" s="2962"/>
      <c r="AR34" s="2962"/>
      <c r="AS34" s="2962"/>
      <c r="AT34" s="2962"/>
      <c r="AU34" s="2962"/>
      <c r="AV34" s="2962"/>
      <c r="AW34" s="2962"/>
      <c r="AX34" s="2962"/>
      <c r="AY34" s="2962"/>
      <c r="AZ34" s="2962"/>
      <c r="BA34" s="2962"/>
      <c r="BB34" s="2962"/>
      <c r="BC34" s="2962"/>
      <c r="BD34" s="2962"/>
      <c r="BE34" s="2962"/>
      <c r="BF34" s="2962"/>
      <c r="BG34" s="2962"/>
      <c r="BH34" s="2962"/>
      <c r="BI34" s="2962"/>
      <c r="BJ34" s="2962"/>
      <c r="BK34" s="2962"/>
      <c r="BL34" s="2962"/>
      <c r="BM34" s="2962"/>
      <c r="BN34" s="2962"/>
      <c r="BO34" s="2962"/>
      <c r="BP34" s="2962"/>
      <c r="BQ34" s="2962"/>
      <c r="BR34" s="2962"/>
      <c r="BS34" s="2962"/>
      <c r="BT34" s="2962"/>
      <c r="BU34" s="2962"/>
      <c r="BV34" s="2962"/>
      <c r="BW34" s="2962"/>
      <c r="BX34" s="2962"/>
      <c r="BY34" s="2962"/>
      <c r="BZ34" s="2962"/>
      <c r="CA34" s="2962"/>
      <c r="CB34" s="2962"/>
      <c r="CC34" s="2962"/>
      <c r="CD34" s="2962"/>
      <c r="CE34" s="2963"/>
      <c r="CF34" s="2963"/>
      <c r="CG34" s="2963"/>
      <c r="CH34" s="2963"/>
      <c r="CI34" s="2963"/>
      <c r="CJ34" s="2963"/>
      <c r="CK34" s="2963"/>
      <c r="CL34" s="2963"/>
      <c r="CM34" s="2963"/>
      <c r="CN34" s="2963"/>
      <c r="CO34" s="2963"/>
      <c r="CP34" s="2963"/>
      <c r="CQ34" s="2963"/>
      <c r="CR34" s="2963"/>
      <c r="CS34" s="2963"/>
      <c r="CT34" s="2963"/>
      <c r="CU34" s="2963"/>
      <c r="CV34" s="2963"/>
      <c r="CW34" s="2963"/>
      <c r="CX34" s="2963"/>
      <c r="CY34" s="2963"/>
      <c r="CZ34" s="2963"/>
      <c r="DA34" s="2963"/>
      <c r="DB34" s="2963"/>
      <c r="DC34" s="2963"/>
      <c r="DD34" s="2963"/>
      <c r="DE34" s="2963"/>
      <c r="DF34" s="2963"/>
      <c r="DG34" s="2963"/>
      <c r="DH34" s="2963"/>
      <c r="DI34" s="2963"/>
      <c r="DJ34" s="2963"/>
      <c r="DK34" s="2963"/>
      <c r="DL34" s="2963"/>
      <c r="DM34" s="2963"/>
      <c r="DN34" s="2963"/>
    </row>
    <row r="35" spans="1:118" ht="19.5" hidden="1" customHeight="1">
      <c r="A35" s="506" t="s">
        <v>387</v>
      </c>
      <c r="B35" s="506"/>
      <c r="C35" s="755"/>
      <c r="D35" s="756"/>
      <c r="E35" s="755"/>
      <c r="F35" s="756"/>
      <c r="G35" s="755"/>
      <c r="H35" s="738"/>
      <c r="I35" s="738"/>
      <c r="J35" s="738"/>
      <c r="K35" s="738"/>
      <c r="L35" s="738"/>
      <c r="M35" s="738"/>
      <c r="N35" s="738"/>
      <c r="O35" s="738"/>
      <c r="P35" s="738"/>
      <c r="Q35" s="738"/>
      <c r="R35" s="738"/>
      <c r="S35" s="738"/>
      <c r="T35" s="738"/>
      <c r="U35" s="738"/>
      <c r="V35" s="738"/>
      <c r="W35" s="738"/>
      <c r="X35" s="738"/>
      <c r="Y35" s="738"/>
      <c r="Z35" s="738"/>
      <c r="AA35" s="738"/>
      <c r="AB35" s="738"/>
      <c r="AC35" s="1892"/>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1892"/>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29"/>
      <c r="CF35" s="729"/>
      <c r="CG35" s="729"/>
      <c r="CH35" s="729"/>
      <c r="CI35" s="729"/>
      <c r="CJ35" s="729"/>
      <c r="CK35" s="729"/>
      <c r="CL35" s="729"/>
      <c r="CM35" s="729"/>
      <c r="CN35" s="729"/>
      <c r="CO35" s="729"/>
      <c r="CP35" s="729"/>
      <c r="CQ35" s="729"/>
      <c r="CR35" s="729"/>
      <c r="CS35" s="729"/>
      <c r="CT35" s="729"/>
      <c r="CU35" s="729"/>
      <c r="CV35" s="729"/>
      <c r="CW35" s="729"/>
      <c r="CX35" s="729"/>
      <c r="CY35" s="729"/>
      <c r="CZ35" s="729"/>
      <c r="DA35" s="729"/>
      <c r="DB35" s="729"/>
      <c r="DC35" s="729"/>
      <c r="DD35" s="729"/>
      <c r="DE35" s="729"/>
      <c r="DF35" s="729"/>
      <c r="DG35" s="729"/>
      <c r="DH35" s="729"/>
      <c r="DI35" s="729"/>
      <c r="DJ35" s="729"/>
      <c r="DK35" s="729"/>
      <c r="DL35" s="729"/>
      <c r="DM35" s="729"/>
      <c r="DN35" s="729"/>
    </row>
    <row r="36" spans="1:118" ht="19.5" hidden="1" customHeight="1">
      <c r="A36" s="509" t="s">
        <v>399</v>
      </c>
      <c r="B36" s="509"/>
      <c r="C36" s="755"/>
      <c r="D36" s="756"/>
      <c r="E36" s="755"/>
      <c r="F36" s="756"/>
      <c r="G36" s="755"/>
      <c r="H36" s="738"/>
      <c r="I36" s="738"/>
      <c r="J36" s="738"/>
      <c r="K36" s="738"/>
      <c r="L36" s="738"/>
      <c r="M36" s="738"/>
      <c r="N36" s="738"/>
      <c r="O36" s="738"/>
      <c r="P36" s="738"/>
      <c r="Q36" s="738"/>
      <c r="R36" s="738"/>
      <c r="S36" s="738"/>
      <c r="T36" s="738"/>
      <c r="U36" s="738"/>
      <c r="V36" s="738"/>
      <c r="W36" s="738"/>
      <c r="X36" s="738"/>
      <c r="Y36" s="738"/>
      <c r="Z36" s="738"/>
      <c r="AA36" s="738"/>
      <c r="AB36" s="738"/>
      <c r="AC36" s="1892"/>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1892"/>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29"/>
      <c r="CF36" s="729"/>
      <c r="CG36" s="729"/>
      <c r="CH36" s="729"/>
      <c r="CI36" s="729"/>
      <c r="CJ36" s="729"/>
      <c r="CK36" s="729"/>
      <c r="CL36" s="729"/>
      <c r="CM36" s="729"/>
      <c r="CN36" s="729"/>
      <c r="CO36" s="729"/>
      <c r="CP36" s="729"/>
      <c r="CQ36" s="729"/>
      <c r="CR36" s="729"/>
      <c r="CS36" s="729"/>
      <c r="CT36" s="729"/>
      <c r="CU36" s="729"/>
      <c r="CV36" s="729"/>
      <c r="CW36" s="729"/>
      <c r="CX36" s="729"/>
      <c r="CY36" s="729"/>
      <c r="CZ36" s="729"/>
      <c r="DA36" s="729"/>
      <c r="DB36" s="729"/>
      <c r="DC36" s="729"/>
      <c r="DD36" s="729"/>
      <c r="DE36" s="729"/>
      <c r="DF36" s="729"/>
      <c r="DG36" s="729"/>
      <c r="DH36" s="729"/>
      <c r="DI36" s="729"/>
      <c r="DJ36" s="729"/>
      <c r="DK36" s="729"/>
      <c r="DL36" s="729"/>
      <c r="DM36" s="729"/>
      <c r="DN36" s="729"/>
    </row>
    <row r="37" spans="1:118" ht="19.5" hidden="1" customHeight="1" thickBot="1">
      <c r="A37" s="345"/>
      <c r="B37" s="345"/>
      <c r="C37" s="755"/>
      <c r="D37" s="756"/>
      <c r="E37" s="755"/>
      <c r="F37" s="756"/>
      <c r="G37" s="755"/>
      <c r="H37" s="738"/>
      <c r="I37" s="738"/>
      <c r="J37" s="738"/>
      <c r="K37" s="738"/>
      <c r="L37" s="738"/>
      <c r="M37" s="738"/>
      <c r="N37" s="738"/>
      <c r="O37" s="738"/>
      <c r="P37" s="738"/>
      <c r="Q37" s="738"/>
      <c r="R37" s="738"/>
      <c r="S37" s="738"/>
      <c r="T37" s="738"/>
      <c r="U37" s="738"/>
      <c r="V37" s="738"/>
      <c r="W37" s="738"/>
      <c r="X37" s="738"/>
      <c r="Y37" s="738"/>
      <c r="Z37" s="738"/>
      <c r="AA37" s="738"/>
      <c r="AB37" s="738"/>
      <c r="AC37" s="1892"/>
      <c r="AD37" s="738"/>
      <c r="AE37" s="738"/>
      <c r="AF37" s="738"/>
      <c r="AG37" s="738"/>
      <c r="AH37" s="738"/>
      <c r="AI37" s="738"/>
      <c r="AJ37" s="738"/>
      <c r="AK37" s="738"/>
      <c r="AL37" s="738"/>
      <c r="AM37" s="738"/>
      <c r="AN37" s="738"/>
      <c r="AO37" s="738"/>
      <c r="AP37" s="738"/>
      <c r="AQ37" s="738"/>
      <c r="AR37" s="738"/>
      <c r="AS37" s="738"/>
      <c r="AT37" s="738"/>
      <c r="AU37" s="738"/>
      <c r="AV37" s="738"/>
      <c r="AW37" s="738"/>
      <c r="AX37" s="738"/>
      <c r="AY37" s="738"/>
      <c r="AZ37" s="738"/>
      <c r="BA37" s="738"/>
      <c r="BB37" s="738"/>
      <c r="BC37" s="738"/>
      <c r="BD37" s="738"/>
      <c r="BE37" s="738"/>
      <c r="BF37" s="1892"/>
      <c r="BG37" s="738"/>
      <c r="BH37" s="738"/>
      <c r="BI37" s="738"/>
      <c r="BJ37" s="738"/>
      <c r="BK37" s="738"/>
      <c r="BL37" s="738"/>
      <c r="BM37" s="738"/>
      <c r="BN37" s="738"/>
      <c r="BO37" s="738"/>
      <c r="BP37" s="738"/>
      <c r="BQ37" s="738"/>
      <c r="BR37" s="738"/>
      <c r="BS37" s="738"/>
      <c r="BT37" s="738"/>
      <c r="BU37" s="738"/>
      <c r="BV37" s="738"/>
      <c r="BW37" s="738"/>
      <c r="BX37" s="738"/>
      <c r="BY37" s="738"/>
      <c r="BZ37" s="738"/>
      <c r="CA37" s="738"/>
      <c r="CB37" s="738"/>
      <c r="CC37" s="738"/>
      <c r="CD37" s="738"/>
      <c r="CE37" s="729"/>
      <c r="CF37" s="729"/>
      <c r="CG37" s="729"/>
      <c r="CH37" s="729"/>
      <c r="CI37" s="729"/>
      <c r="CJ37" s="729"/>
      <c r="CK37" s="729"/>
      <c r="CL37" s="729"/>
      <c r="CM37" s="729"/>
      <c r="CN37" s="729"/>
      <c r="CO37" s="729"/>
      <c r="CP37" s="729"/>
      <c r="CQ37" s="729"/>
      <c r="CR37" s="729"/>
      <c r="CS37" s="729"/>
      <c r="CT37" s="729"/>
      <c r="CU37" s="729"/>
      <c r="CV37" s="729"/>
      <c r="CW37" s="729"/>
      <c r="CX37" s="729"/>
      <c r="CY37" s="729"/>
      <c r="CZ37" s="729"/>
      <c r="DA37" s="729"/>
      <c r="DB37" s="729"/>
      <c r="DC37" s="729"/>
      <c r="DD37" s="729"/>
      <c r="DE37" s="729"/>
      <c r="DF37" s="729"/>
      <c r="DG37" s="729"/>
      <c r="DH37" s="729"/>
      <c r="DI37" s="729"/>
      <c r="DJ37" s="729"/>
      <c r="DK37" s="729"/>
      <c r="DL37" s="729"/>
      <c r="DM37" s="729"/>
      <c r="DN37" s="729"/>
    </row>
    <row r="38" spans="1:118" ht="25.5" hidden="1" customHeight="1" thickTop="1" thickBot="1">
      <c r="A38" s="509"/>
      <c r="B38" s="509"/>
      <c r="C38" s="3544" t="str">
        <f>"Ejercicio "&amp;Año_Com_Ejerc_1</f>
        <v>Ejercicio 0</v>
      </c>
      <c r="D38" s="3545"/>
      <c r="E38" s="3545"/>
      <c r="F38" s="3545"/>
      <c r="G38" s="3545"/>
      <c r="H38" s="3545"/>
      <c r="I38" s="3545"/>
      <c r="J38" s="3545"/>
      <c r="K38" s="3546"/>
      <c r="L38" s="1386"/>
      <c r="M38" s="1386"/>
      <c r="N38" s="1386"/>
      <c r="O38" s="1386"/>
      <c r="P38" s="1386"/>
      <c r="Q38" s="1386"/>
      <c r="R38" s="1386"/>
      <c r="S38" s="1386"/>
      <c r="T38" s="1386"/>
      <c r="U38" s="1386"/>
      <c r="V38" s="1386"/>
      <c r="W38" s="1386"/>
      <c r="X38" s="1386"/>
      <c r="Y38" s="1386"/>
      <c r="Z38" s="1386"/>
      <c r="AA38" s="1386"/>
      <c r="AB38" s="1386"/>
      <c r="AC38" s="1892"/>
      <c r="AD38" s="757"/>
      <c r="AE38" s="738"/>
      <c r="AF38" s="738"/>
      <c r="AG38" s="738"/>
      <c r="AH38" s="738"/>
      <c r="AI38" s="738"/>
      <c r="AJ38" s="738"/>
      <c r="AK38" s="738"/>
      <c r="AL38" s="738"/>
      <c r="AM38" s="738"/>
      <c r="AN38" s="738"/>
      <c r="AO38" s="738"/>
      <c r="AP38" s="738"/>
      <c r="AQ38" s="738"/>
      <c r="AR38" s="738"/>
      <c r="AS38" s="738"/>
      <c r="AT38" s="738"/>
      <c r="AU38" s="738"/>
      <c r="AV38" s="738"/>
      <c r="AW38" s="738"/>
      <c r="AX38" s="738"/>
      <c r="AY38" s="738"/>
      <c r="AZ38" s="738"/>
      <c r="BA38" s="738"/>
      <c r="BB38" s="738"/>
      <c r="BC38" s="738"/>
      <c r="BD38" s="738"/>
      <c r="BE38" s="738"/>
      <c r="BF38" s="1892"/>
      <c r="BG38" s="738"/>
      <c r="BH38" s="738"/>
      <c r="BI38" s="738"/>
      <c r="BJ38" s="738"/>
      <c r="BK38" s="738"/>
      <c r="BL38" s="738"/>
      <c r="BM38" s="738"/>
      <c r="BN38" s="738"/>
      <c r="BO38" s="738"/>
      <c r="BP38" s="738"/>
      <c r="BQ38" s="738"/>
      <c r="BR38" s="738"/>
      <c r="BS38" s="738"/>
      <c r="BT38" s="738"/>
      <c r="BU38" s="738"/>
      <c r="BV38" s="738"/>
      <c r="BW38" s="738"/>
      <c r="BX38" s="738"/>
      <c r="BY38" s="738"/>
      <c r="BZ38" s="738"/>
      <c r="CA38" s="738"/>
      <c r="CB38" s="738"/>
      <c r="CC38" s="738"/>
      <c r="CD38" s="738"/>
      <c r="CE38" s="729"/>
      <c r="CF38" s="729"/>
      <c r="CG38" s="729"/>
      <c r="CH38" s="729"/>
      <c r="CI38" s="729"/>
      <c r="CJ38" s="729"/>
      <c r="CK38" s="729"/>
      <c r="CL38" s="729"/>
      <c r="CM38" s="729"/>
      <c r="CN38" s="729"/>
      <c r="CO38" s="729"/>
      <c r="CP38" s="729"/>
      <c r="CQ38" s="729"/>
      <c r="CR38" s="729"/>
      <c r="CS38" s="729"/>
      <c r="CT38" s="729"/>
      <c r="CU38" s="729"/>
      <c r="CV38" s="729"/>
      <c r="CW38" s="729"/>
      <c r="CX38" s="729"/>
      <c r="CY38" s="729"/>
      <c r="CZ38" s="729"/>
      <c r="DA38" s="729"/>
      <c r="DB38" s="729"/>
      <c r="DC38" s="729"/>
      <c r="DD38" s="729"/>
      <c r="DE38" s="729"/>
      <c r="DF38" s="729"/>
      <c r="DG38" s="729"/>
      <c r="DH38" s="729"/>
      <c r="DI38" s="729"/>
      <c r="DJ38" s="729"/>
      <c r="DK38" s="729"/>
      <c r="DL38" s="729"/>
      <c r="DM38" s="729"/>
      <c r="DN38" s="729"/>
    </row>
    <row r="39" spans="1:118" ht="66" hidden="1" customHeight="1" thickTop="1" thickBot="1">
      <c r="A39" s="758" t="s">
        <v>38</v>
      </c>
      <c r="B39" s="2150"/>
      <c r="C39" s="759" t="s">
        <v>388</v>
      </c>
      <c r="D39" s="760" t="s">
        <v>133</v>
      </c>
      <c r="E39" s="760" t="s">
        <v>135</v>
      </c>
      <c r="F39" s="760" t="s">
        <v>294</v>
      </c>
      <c r="G39" s="760" t="s">
        <v>134</v>
      </c>
      <c r="H39" s="760"/>
      <c r="I39" s="760" t="s">
        <v>389</v>
      </c>
      <c r="J39" s="760" t="s">
        <v>390</v>
      </c>
      <c r="K39" s="761" t="s">
        <v>271</v>
      </c>
      <c r="L39" s="1387"/>
      <c r="M39" s="1387"/>
      <c r="N39" s="1387"/>
      <c r="O39" s="1387"/>
      <c r="P39" s="1387"/>
      <c r="Q39" s="1387"/>
      <c r="R39" s="1387"/>
      <c r="S39" s="1387"/>
      <c r="T39" s="1387"/>
      <c r="U39" s="1387"/>
      <c r="V39" s="1387"/>
      <c r="W39" s="1387"/>
      <c r="X39" s="1387"/>
      <c r="Y39" s="1387"/>
      <c r="Z39" s="1387"/>
      <c r="AA39" s="1387"/>
      <c r="AB39" s="1387"/>
      <c r="AC39" s="1892"/>
      <c r="AD39" s="762"/>
      <c r="AE39" s="738"/>
      <c r="AF39" s="738"/>
      <c r="AG39" s="738"/>
      <c r="AH39" s="738"/>
      <c r="AI39" s="738"/>
      <c r="AJ39" s="738"/>
      <c r="AK39" s="738"/>
      <c r="AL39" s="738"/>
      <c r="AM39" s="738"/>
      <c r="AN39" s="738"/>
      <c r="AO39" s="738"/>
      <c r="AP39" s="738"/>
      <c r="AQ39" s="738"/>
      <c r="AR39" s="738"/>
      <c r="AS39" s="738"/>
      <c r="AT39" s="738"/>
      <c r="AU39" s="738"/>
      <c r="AV39" s="738"/>
      <c r="AW39" s="738"/>
      <c r="AX39" s="738"/>
      <c r="AY39" s="738"/>
      <c r="AZ39" s="738"/>
      <c r="BA39" s="738"/>
      <c r="BB39" s="738"/>
      <c r="BC39" s="738"/>
      <c r="BD39" s="738"/>
      <c r="BE39" s="738"/>
      <c r="BF39" s="1892"/>
      <c r="BG39" s="738"/>
      <c r="BH39" s="738"/>
      <c r="BI39" s="738"/>
      <c r="BJ39" s="738"/>
      <c r="BK39" s="738"/>
      <c r="BL39" s="738"/>
      <c r="BM39" s="738"/>
      <c r="BN39" s="738"/>
      <c r="BO39" s="738"/>
      <c r="BP39" s="738"/>
      <c r="BQ39" s="738"/>
      <c r="BR39" s="738"/>
      <c r="BS39" s="738"/>
      <c r="BT39" s="738"/>
      <c r="BU39" s="738"/>
      <c r="BV39" s="738"/>
      <c r="BW39" s="738"/>
      <c r="BX39" s="738"/>
      <c r="BY39" s="738"/>
      <c r="BZ39" s="738"/>
      <c r="CA39" s="738"/>
      <c r="CB39" s="738"/>
      <c r="CC39" s="738"/>
      <c r="CD39" s="738"/>
      <c r="CE39" s="729"/>
      <c r="CF39" s="729"/>
      <c r="CG39" s="729"/>
      <c r="CH39" s="729"/>
      <c r="CI39" s="729"/>
      <c r="CJ39" s="729"/>
      <c r="CK39" s="729"/>
      <c r="CL39" s="729"/>
      <c r="CM39" s="729"/>
      <c r="CN39" s="729"/>
      <c r="CO39" s="729"/>
      <c r="CP39" s="729"/>
      <c r="CQ39" s="729"/>
      <c r="CR39" s="729"/>
      <c r="CS39" s="729"/>
      <c r="CT39" s="729"/>
      <c r="CU39" s="729"/>
      <c r="CV39" s="729"/>
      <c r="CW39" s="729"/>
      <c r="CX39" s="729"/>
      <c r="CY39" s="729"/>
      <c r="CZ39" s="729"/>
      <c r="DA39" s="729"/>
      <c r="DB39" s="729"/>
      <c r="DC39" s="729"/>
      <c r="DD39" s="729"/>
      <c r="DE39" s="729"/>
      <c r="DF39" s="729"/>
      <c r="DG39" s="729"/>
      <c r="DH39" s="729"/>
      <c r="DI39" s="729"/>
      <c r="DJ39" s="729"/>
      <c r="DK39" s="729"/>
      <c r="DL39" s="729"/>
      <c r="DM39" s="729"/>
      <c r="DN39" s="729"/>
    </row>
    <row r="40" spans="1:118" ht="30" hidden="1" customHeight="1" thickTop="1" thickBot="1">
      <c r="A40" s="763" t="s">
        <v>384</v>
      </c>
      <c r="B40" s="2151"/>
      <c r="C40" s="764"/>
      <c r="D40" s="765">
        <v>0.1</v>
      </c>
      <c r="E40" s="766">
        <f>C40*D40</f>
        <v>0</v>
      </c>
      <c r="F40" s="765">
        <v>6.4000000000000001E-2</v>
      </c>
      <c r="G40" s="766">
        <f>C40*(1-D40-F40)</f>
        <v>0</v>
      </c>
      <c r="H40" s="767"/>
      <c r="I40" s="768"/>
      <c r="J40" s="768"/>
      <c r="K40" s="769">
        <f>C40+I40+J40</f>
        <v>0</v>
      </c>
      <c r="L40" s="770"/>
      <c r="M40" s="770"/>
      <c r="N40" s="770"/>
      <c r="O40" s="770"/>
      <c r="P40" s="770"/>
      <c r="Q40" s="770"/>
      <c r="R40" s="770"/>
      <c r="S40" s="770"/>
      <c r="T40" s="770"/>
      <c r="U40" s="770"/>
      <c r="V40" s="770"/>
      <c r="W40" s="770"/>
      <c r="X40" s="770"/>
      <c r="Y40" s="770"/>
      <c r="Z40" s="770"/>
      <c r="AA40" s="770"/>
      <c r="AB40" s="770"/>
      <c r="AC40" s="1892"/>
      <c r="AD40" s="770"/>
      <c r="AE40" s="738"/>
      <c r="AF40" s="738"/>
      <c r="AG40" s="738"/>
      <c r="AH40" s="738"/>
      <c r="AI40" s="738"/>
      <c r="AJ40" s="738"/>
      <c r="AK40" s="738"/>
      <c r="AL40" s="738"/>
      <c r="AM40" s="738"/>
      <c r="AN40" s="738"/>
      <c r="AO40" s="738"/>
      <c r="AP40" s="738"/>
      <c r="AQ40" s="738"/>
      <c r="AR40" s="738"/>
      <c r="AS40" s="738"/>
      <c r="AT40" s="738"/>
      <c r="AU40" s="738"/>
      <c r="AV40" s="738"/>
      <c r="AW40" s="738"/>
      <c r="AX40" s="738"/>
      <c r="AY40" s="738"/>
      <c r="AZ40" s="738"/>
      <c r="BA40" s="738"/>
      <c r="BB40" s="738"/>
      <c r="BC40" s="738"/>
      <c r="BD40" s="738"/>
      <c r="BE40" s="738"/>
      <c r="BF40" s="1892"/>
      <c r="BG40" s="738"/>
      <c r="BH40" s="738"/>
      <c r="BI40" s="738"/>
      <c r="BJ40" s="738"/>
      <c r="BK40" s="738"/>
      <c r="BL40" s="738"/>
      <c r="BM40" s="738"/>
      <c r="BN40" s="738"/>
      <c r="BO40" s="738"/>
      <c r="BP40" s="738"/>
      <c r="BQ40" s="738"/>
      <c r="BR40" s="738"/>
      <c r="BS40" s="738"/>
      <c r="BT40" s="738"/>
      <c r="BU40" s="738"/>
      <c r="BV40" s="738"/>
      <c r="BW40" s="738"/>
      <c r="BX40" s="738"/>
      <c r="BY40" s="738"/>
      <c r="BZ40" s="738"/>
      <c r="CA40" s="738"/>
      <c r="CB40" s="738"/>
      <c r="CC40" s="738"/>
      <c r="CD40" s="738"/>
      <c r="CE40" s="729"/>
      <c r="CF40" s="729"/>
      <c r="CG40" s="729"/>
      <c r="CH40" s="729"/>
      <c r="CI40" s="729"/>
      <c r="CJ40" s="729"/>
      <c r="CK40" s="729"/>
      <c r="CL40" s="729"/>
      <c r="CM40" s="729"/>
      <c r="CN40" s="729"/>
      <c r="CO40" s="729"/>
      <c r="CP40" s="729"/>
      <c r="CQ40" s="729"/>
      <c r="CR40" s="729"/>
      <c r="CS40" s="729"/>
      <c r="CT40" s="729"/>
      <c r="CU40" s="729"/>
      <c r="CV40" s="729"/>
      <c r="CW40" s="729"/>
      <c r="CX40" s="729"/>
      <c r="CY40" s="729"/>
      <c r="CZ40" s="729"/>
      <c r="DA40" s="729"/>
      <c r="DB40" s="729"/>
      <c r="DC40" s="729"/>
      <c r="DD40" s="729"/>
      <c r="DE40" s="729"/>
      <c r="DF40" s="729"/>
      <c r="DG40" s="729"/>
      <c r="DH40" s="729"/>
      <c r="DI40" s="729"/>
      <c r="DJ40" s="729"/>
      <c r="DK40" s="729"/>
      <c r="DL40" s="729"/>
      <c r="DM40" s="729"/>
      <c r="DN40" s="729"/>
    </row>
    <row r="41" spans="1:118" ht="33.75" hidden="1" customHeight="1" thickBot="1">
      <c r="A41" s="771" t="s">
        <v>383</v>
      </c>
      <c r="B41" s="2152"/>
      <c r="C41" s="772"/>
      <c r="D41" s="773">
        <v>1.1000000000000001</v>
      </c>
      <c r="E41" s="774">
        <f>C41*D41</f>
        <v>0</v>
      </c>
      <c r="F41" s="773">
        <v>1.0640000000000001</v>
      </c>
      <c r="G41" s="774">
        <f>C41*(1-D41-F41)</f>
        <v>0</v>
      </c>
      <c r="H41" s="775"/>
      <c r="I41" s="776"/>
      <c r="J41" s="776"/>
      <c r="K41" s="777">
        <f>C41+I41+J41</f>
        <v>0</v>
      </c>
      <c r="L41" s="770"/>
      <c r="M41" s="770"/>
      <c r="N41" s="770"/>
      <c r="O41" s="770"/>
      <c r="P41" s="770"/>
      <c r="Q41" s="770"/>
      <c r="R41" s="770"/>
      <c r="S41" s="770"/>
      <c r="T41" s="770"/>
      <c r="U41" s="770"/>
      <c r="V41" s="770"/>
      <c r="W41" s="770"/>
      <c r="X41" s="770"/>
      <c r="Y41" s="770"/>
      <c r="Z41" s="770"/>
      <c r="AA41" s="770"/>
      <c r="AB41" s="770"/>
      <c r="AC41" s="1892"/>
      <c r="AD41" s="770"/>
      <c r="AE41" s="738"/>
      <c r="AF41" s="738"/>
      <c r="AG41" s="738"/>
      <c r="AH41" s="738"/>
      <c r="AI41" s="738"/>
      <c r="AJ41" s="738"/>
      <c r="AK41" s="738"/>
      <c r="AL41" s="738"/>
      <c r="AM41" s="738"/>
      <c r="AN41" s="738"/>
      <c r="AO41" s="738"/>
      <c r="AP41" s="738"/>
      <c r="AQ41" s="738"/>
      <c r="AR41" s="738"/>
      <c r="AS41" s="738"/>
      <c r="AT41" s="738"/>
      <c r="AU41" s="738"/>
      <c r="AV41" s="738"/>
      <c r="AW41" s="738"/>
      <c r="AX41" s="738"/>
      <c r="AY41" s="738"/>
      <c r="AZ41" s="738"/>
      <c r="BA41" s="738"/>
      <c r="BB41" s="738"/>
      <c r="BC41" s="738"/>
      <c r="BD41" s="738"/>
      <c r="BE41" s="738"/>
      <c r="BF41" s="1892"/>
      <c r="BG41" s="738"/>
      <c r="BH41" s="738"/>
      <c r="BI41" s="738"/>
      <c r="BJ41" s="738"/>
      <c r="BK41" s="738"/>
      <c r="BL41" s="738"/>
      <c r="BM41" s="738"/>
      <c r="BN41" s="738"/>
      <c r="BO41" s="738"/>
      <c r="BP41" s="738"/>
      <c r="BQ41" s="738"/>
      <c r="BR41" s="738"/>
      <c r="BS41" s="738"/>
      <c r="BT41" s="738"/>
      <c r="BU41" s="738"/>
      <c r="BV41" s="738"/>
      <c r="BW41" s="738"/>
      <c r="BX41" s="738"/>
      <c r="BY41" s="738"/>
      <c r="BZ41" s="738"/>
      <c r="CA41" s="738"/>
      <c r="CB41" s="738"/>
      <c r="CC41" s="738"/>
      <c r="CD41" s="738"/>
      <c r="CE41" s="729"/>
      <c r="CF41" s="729"/>
      <c r="CG41" s="729"/>
      <c r="CH41" s="729"/>
      <c r="CI41" s="729"/>
      <c r="CJ41" s="729"/>
      <c r="CK41" s="729"/>
      <c r="CL41" s="729"/>
      <c r="CM41" s="729"/>
      <c r="CN41" s="729"/>
      <c r="CO41" s="729"/>
      <c r="CP41" s="729"/>
      <c r="CQ41" s="729"/>
      <c r="CR41" s="729"/>
      <c r="CS41" s="729"/>
      <c r="CT41" s="729"/>
      <c r="CU41" s="729"/>
      <c r="CV41" s="729"/>
      <c r="CW41" s="729"/>
      <c r="CX41" s="729"/>
      <c r="CY41" s="729"/>
      <c r="CZ41" s="729"/>
      <c r="DA41" s="729"/>
      <c r="DB41" s="729"/>
      <c r="DC41" s="729"/>
      <c r="DD41" s="729"/>
      <c r="DE41" s="729"/>
      <c r="DF41" s="729"/>
      <c r="DG41" s="729"/>
      <c r="DH41" s="729"/>
      <c r="DI41" s="729"/>
      <c r="DJ41" s="729"/>
      <c r="DK41" s="729"/>
      <c r="DL41" s="729"/>
      <c r="DM41" s="729"/>
      <c r="DN41" s="729"/>
    </row>
    <row r="42" spans="1:118" ht="27.75" hidden="1" customHeight="1" thickTop="1" thickBot="1">
      <c r="A42" s="778" t="s">
        <v>385</v>
      </c>
      <c r="B42" s="2153"/>
      <c r="C42" s="779">
        <f>SUM(C40:C41)</f>
        <v>0</v>
      </c>
      <c r="D42" s="780"/>
      <c r="E42" s="781">
        <f>E25+E41</f>
        <v>0</v>
      </c>
      <c r="F42" s="780"/>
      <c r="G42" s="781">
        <f>G25+G41</f>
        <v>0</v>
      </c>
      <c r="H42" s="780"/>
      <c r="I42" s="781">
        <f>SUM(I40:I41)</f>
        <v>0</v>
      </c>
      <c r="J42" s="781">
        <f>SUM(J40:J41)</f>
        <v>0</v>
      </c>
      <c r="K42" s="782">
        <f>SUM(K40:K41)</f>
        <v>0</v>
      </c>
      <c r="L42" s="1388"/>
      <c r="M42" s="1388"/>
      <c r="N42" s="1388"/>
      <c r="O42" s="1388"/>
      <c r="P42" s="1388"/>
      <c r="Q42" s="1388"/>
      <c r="R42" s="1388"/>
      <c r="S42" s="1388"/>
      <c r="T42" s="1388"/>
      <c r="U42" s="1388"/>
      <c r="V42" s="1388"/>
      <c r="W42" s="1388"/>
      <c r="X42" s="1388"/>
      <c r="Y42" s="1388"/>
      <c r="Z42" s="1388"/>
      <c r="AA42" s="1388"/>
      <c r="AB42" s="1388"/>
      <c r="AC42" s="1892"/>
      <c r="AD42" s="783"/>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1892"/>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29"/>
      <c r="CF42" s="729"/>
      <c r="CG42" s="729"/>
      <c r="CH42" s="729"/>
      <c r="CI42" s="729"/>
      <c r="CJ42" s="729"/>
      <c r="CK42" s="729"/>
      <c r="CL42" s="729"/>
      <c r="CM42" s="729"/>
      <c r="CN42" s="729"/>
      <c r="CO42" s="729"/>
      <c r="CP42" s="729"/>
      <c r="CQ42" s="729"/>
      <c r="CR42" s="729"/>
      <c r="CS42" s="729"/>
      <c r="CT42" s="729"/>
      <c r="CU42" s="729"/>
      <c r="CV42" s="729"/>
      <c r="CW42" s="729"/>
      <c r="CX42" s="729"/>
      <c r="CY42" s="729"/>
      <c r="CZ42" s="729"/>
      <c r="DA42" s="729"/>
      <c r="DB42" s="729"/>
      <c r="DC42" s="729"/>
      <c r="DD42" s="729"/>
      <c r="DE42" s="729"/>
      <c r="DF42" s="729"/>
      <c r="DG42" s="729"/>
      <c r="DH42" s="729"/>
      <c r="DI42" s="729"/>
      <c r="DJ42" s="729"/>
      <c r="DK42" s="729"/>
      <c r="DL42" s="729"/>
      <c r="DM42" s="729"/>
      <c r="DN42" s="729"/>
    </row>
    <row r="43" spans="1:118" ht="19.5" customHeight="1">
      <c r="A43" s="748"/>
      <c r="B43" s="74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1892"/>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29"/>
      <c r="CF43" s="729"/>
      <c r="CG43" s="729"/>
      <c r="CH43" s="729"/>
      <c r="CI43" s="729"/>
      <c r="CJ43" s="729"/>
      <c r="CK43" s="729"/>
      <c r="CL43" s="729"/>
      <c r="CM43" s="729"/>
      <c r="CN43" s="729"/>
      <c r="CO43" s="729"/>
      <c r="CP43" s="729"/>
      <c r="CQ43" s="729"/>
      <c r="CR43" s="729"/>
      <c r="CS43" s="729"/>
      <c r="CT43" s="729"/>
      <c r="CU43" s="729"/>
      <c r="CV43" s="729"/>
      <c r="CW43" s="729"/>
      <c r="CX43" s="729"/>
      <c r="CY43" s="729"/>
      <c r="CZ43" s="729"/>
      <c r="DA43" s="729"/>
      <c r="DB43" s="729"/>
      <c r="DC43" s="729"/>
      <c r="DD43" s="729"/>
      <c r="DE43" s="729"/>
      <c r="DF43" s="729"/>
      <c r="DG43" s="729"/>
      <c r="DH43" s="729"/>
      <c r="DI43" s="729"/>
      <c r="DJ43" s="729"/>
      <c r="DK43" s="729"/>
      <c r="DL43" s="729"/>
      <c r="DM43" s="729"/>
      <c r="DN43" s="729"/>
    </row>
    <row r="44" spans="1:118" ht="14.25" customHeight="1">
      <c r="AJ44" s="738"/>
      <c r="AK44" s="738"/>
      <c r="AL44" s="738"/>
      <c r="AM44" s="738"/>
      <c r="AN44" s="738"/>
      <c r="AO44" s="738"/>
      <c r="AP44" s="738"/>
      <c r="AQ44" s="738"/>
      <c r="AR44" s="738"/>
      <c r="AS44" s="738"/>
      <c r="AT44" s="738"/>
      <c r="AU44" s="738"/>
      <c r="AV44" s="738"/>
      <c r="AW44" s="738"/>
      <c r="AX44" s="738"/>
      <c r="AY44" s="738"/>
      <c r="AZ44" s="738"/>
      <c r="BA44" s="738"/>
      <c r="BB44" s="738"/>
      <c r="BC44" s="738"/>
      <c r="BD44" s="738"/>
      <c r="BE44" s="738"/>
      <c r="BF44" s="1892"/>
      <c r="BG44" s="738"/>
      <c r="BH44" s="738"/>
      <c r="BI44" s="738"/>
      <c r="BJ44" s="738"/>
      <c r="BK44" s="738"/>
      <c r="BL44" s="738"/>
      <c r="BM44" s="738"/>
      <c r="BN44" s="738"/>
      <c r="BO44" s="738"/>
      <c r="BP44" s="738"/>
      <c r="BQ44" s="738"/>
      <c r="BR44" s="738"/>
      <c r="BS44" s="738"/>
      <c r="BT44" s="738"/>
      <c r="BU44" s="738"/>
      <c r="BV44" s="738"/>
      <c r="BW44" s="738"/>
      <c r="BX44" s="738"/>
      <c r="BY44" s="738"/>
      <c r="BZ44" s="738"/>
      <c r="CA44" s="738"/>
      <c r="CB44" s="738"/>
      <c r="CC44" s="738"/>
      <c r="CD44" s="738"/>
      <c r="CE44" s="729"/>
      <c r="CF44" s="729"/>
      <c r="CG44" s="729"/>
      <c r="CH44" s="729"/>
      <c r="CI44" s="729"/>
      <c r="CJ44" s="729"/>
      <c r="CK44" s="729"/>
      <c r="CL44" s="729"/>
      <c r="CM44" s="729"/>
      <c r="CN44" s="729"/>
      <c r="CO44" s="729"/>
      <c r="CP44" s="729"/>
      <c r="CQ44" s="729"/>
      <c r="CR44" s="729"/>
      <c r="CS44" s="729"/>
      <c r="CT44" s="729"/>
      <c r="CU44" s="729"/>
      <c r="CV44" s="729"/>
      <c r="CW44" s="729"/>
      <c r="CX44" s="729"/>
      <c r="CY44" s="729"/>
      <c r="CZ44" s="729"/>
      <c r="DA44" s="729"/>
      <c r="DB44" s="729"/>
      <c r="DC44" s="729"/>
      <c r="DD44" s="729"/>
      <c r="DE44" s="729"/>
      <c r="DF44" s="729"/>
      <c r="DG44" s="729"/>
      <c r="DH44" s="729"/>
      <c r="DI44" s="729"/>
      <c r="DJ44" s="729"/>
      <c r="DK44" s="729"/>
      <c r="DL44" s="729"/>
      <c r="DM44" s="729"/>
      <c r="DN44" s="729"/>
    </row>
    <row r="45" spans="1:118" ht="6" customHeight="1">
      <c r="AJ45" s="738"/>
      <c r="AK45" s="738"/>
      <c r="AL45" s="738"/>
      <c r="AM45" s="738"/>
      <c r="AN45" s="738"/>
      <c r="AO45" s="738"/>
      <c r="AP45" s="738"/>
      <c r="AQ45" s="738"/>
      <c r="AR45" s="738"/>
      <c r="AS45" s="738"/>
      <c r="AT45" s="738"/>
      <c r="AU45" s="738"/>
      <c r="AV45" s="738"/>
      <c r="AW45" s="738"/>
      <c r="AX45" s="738"/>
      <c r="AY45" s="738"/>
      <c r="AZ45" s="738"/>
      <c r="BA45" s="738"/>
      <c r="BB45" s="738"/>
      <c r="BC45" s="738"/>
      <c r="BD45" s="738"/>
      <c r="BE45" s="738"/>
      <c r="BF45" s="1892"/>
      <c r="BG45" s="738"/>
      <c r="BH45" s="738"/>
      <c r="BI45" s="738"/>
      <c r="BJ45" s="738"/>
      <c r="BK45" s="738"/>
      <c r="BL45" s="738"/>
      <c r="BM45" s="738"/>
      <c r="BN45" s="738"/>
      <c r="BO45" s="738"/>
      <c r="BP45" s="738"/>
      <c r="BQ45" s="738"/>
      <c r="BR45" s="738"/>
      <c r="BS45" s="738"/>
      <c r="BT45" s="738"/>
      <c r="BU45" s="738"/>
      <c r="BV45" s="738"/>
      <c r="BW45" s="738"/>
      <c r="BX45" s="738"/>
      <c r="BY45" s="738"/>
      <c r="BZ45" s="738"/>
      <c r="CA45" s="738"/>
      <c r="CB45" s="738"/>
      <c r="CC45" s="738"/>
      <c r="CD45" s="738"/>
      <c r="CE45" s="729"/>
      <c r="CF45" s="729"/>
      <c r="CG45" s="729"/>
      <c r="CH45" s="729"/>
      <c r="CI45" s="729"/>
      <c r="CJ45" s="729"/>
      <c r="CK45" s="729"/>
      <c r="CL45" s="729"/>
      <c r="CM45" s="729"/>
      <c r="CN45" s="729"/>
      <c r="CO45" s="729"/>
      <c r="CP45" s="729"/>
      <c r="CQ45" s="729"/>
      <c r="CR45" s="729"/>
      <c r="CS45" s="729"/>
      <c r="CT45" s="729"/>
      <c r="CU45" s="729"/>
      <c r="CV45" s="729"/>
      <c r="CW45" s="729"/>
      <c r="CX45" s="729"/>
      <c r="CY45" s="729"/>
      <c r="CZ45" s="729"/>
      <c r="DA45" s="729"/>
      <c r="DB45" s="729"/>
      <c r="DC45" s="729"/>
      <c r="DD45" s="729"/>
      <c r="DE45" s="729"/>
      <c r="DF45" s="729"/>
      <c r="DG45" s="729"/>
      <c r="DH45" s="729"/>
      <c r="DI45" s="729"/>
      <c r="DJ45" s="729"/>
      <c r="DK45" s="729"/>
      <c r="DL45" s="729"/>
      <c r="DM45" s="729"/>
      <c r="DN45" s="729"/>
    </row>
    <row r="46" spans="1:118" ht="38.25" customHeight="1">
      <c r="AJ46" s="738"/>
      <c r="AK46" s="738"/>
      <c r="AL46" s="738"/>
      <c r="AM46" s="738"/>
      <c r="AN46" s="738"/>
      <c r="AO46" s="738"/>
      <c r="AP46" s="738"/>
      <c r="AQ46" s="738"/>
      <c r="AR46" s="738"/>
      <c r="AS46" s="738"/>
      <c r="AT46" s="738"/>
      <c r="AU46" s="738"/>
      <c r="AV46" s="738"/>
      <c r="AW46" s="738"/>
      <c r="AX46" s="738"/>
      <c r="AY46" s="738"/>
      <c r="AZ46" s="738"/>
      <c r="BA46" s="738"/>
      <c r="BB46" s="738"/>
      <c r="BC46" s="738"/>
      <c r="BD46" s="738"/>
      <c r="BE46" s="738"/>
      <c r="BF46" s="1892"/>
      <c r="BG46" s="738"/>
      <c r="BH46" s="738"/>
      <c r="BI46" s="738"/>
      <c r="BJ46" s="738"/>
      <c r="BK46" s="738"/>
      <c r="BL46" s="738"/>
      <c r="BM46" s="738"/>
      <c r="BN46" s="738"/>
      <c r="BO46" s="738"/>
      <c r="BP46" s="738"/>
      <c r="BQ46" s="738"/>
      <c r="BR46" s="738"/>
      <c r="BS46" s="738"/>
      <c r="BT46" s="738"/>
      <c r="BU46" s="738"/>
      <c r="BV46" s="738"/>
      <c r="BW46" s="738"/>
      <c r="BX46" s="738"/>
      <c r="BY46" s="738"/>
      <c r="BZ46" s="738"/>
      <c r="CA46" s="738"/>
      <c r="CB46" s="738"/>
      <c r="CC46" s="738"/>
      <c r="CD46" s="738"/>
      <c r="CE46" s="729"/>
      <c r="CF46" s="729"/>
      <c r="CG46" s="729"/>
      <c r="CH46" s="729"/>
      <c r="CI46" s="729"/>
      <c r="CJ46" s="729"/>
      <c r="CK46" s="729"/>
      <c r="CL46" s="729"/>
      <c r="CM46" s="729"/>
      <c r="CN46" s="729"/>
      <c r="CO46" s="729"/>
      <c r="CP46" s="729"/>
      <c r="CQ46" s="729"/>
      <c r="CR46" s="729"/>
      <c r="CS46" s="729"/>
      <c r="CT46" s="729"/>
      <c r="CU46" s="729"/>
      <c r="CV46" s="729"/>
      <c r="CW46" s="729"/>
      <c r="CX46" s="729"/>
      <c r="CY46" s="729"/>
      <c r="CZ46" s="729"/>
      <c r="DA46" s="729"/>
      <c r="DB46" s="729"/>
      <c r="DC46" s="729"/>
      <c r="DD46" s="729"/>
      <c r="DE46" s="729"/>
      <c r="DF46" s="729"/>
      <c r="DG46" s="729"/>
      <c r="DH46" s="729"/>
      <c r="DI46" s="729"/>
      <c r="DJ46" s="729"/>
      <c r="DK46" s="729"/>
      <c r="DL46" s="729"/>
      <c r="DM46" s="729"/>
      <c r="DN46" s="729"/>
    </row>
    <row r="47" spans="1:118" ht="40.5" customHeight="1">
      <c r="AJ47" s="738"/>
      <c r="AK47" s="738"/>
      <c r="AL47" s="738"/>
      <c r="AM47" s="738"/>
      <c r="AN47" s="738"/>
      <c r="AO47" s="738"/>
      <c r="AP47" s="738"/>
      <c r="AQ47" s="738"/>
      <c r="AR47" s="738"/>
      <c r="AS47" s="738"/>
      <c r="AT47" s="738"/>
      <c r="AU47" s="738"/>
      <c r="AV47" s="738"/>
      <c r="AW47" s="738"/>
      <c r="AX47" s="738"/>
      <c r="AY47" s="738"/>
      <c r="AZ47" s="738"/>
      <c r="BA47" s="738"/>
      <c r="BB47" s="738"/>
      <c r="BC47" s="738"/>
      <c r="BD47" s="738"/>
      <c r="BE47" s="738"/>
      <c r="BF47" s="1892"/>
      <c r="BG47" s="738"/>
      <c r="BH47" s="738"/>
      <c r="BI47" s="738"/>
      <c r="BJ47" s="738"/>
      <c r="BK47" s="738"/>
      <c r="BL47" s="738"/>
      <c r="BM47" s="738"/>
      <c r="BN47" s="738"/>
      <c r="BO47" s="738"/>
      <c r="BP47" s="738"/>
      <c r="BQ47" s="738"/>
      <c r="BR47" s="738"/>
      <c r="BS47" s="738"/>
      <c r="BT47" s="738"/>
      <c r="BU47" s="738"/>
      <c r="BV47" s="738"/>
      <c r="BW47" s="738"/>
      <c r="BX47" s="738"/>
      <c r="BY47" s="738"/>
      <c r="BZ47" s="738"/>
      <c r="CA47" s="738"/>
      <c r="CB47" s="738"/>
      <c r="CC47" s="738"/>
      <c r="CD47" s="738"/>
      <c r="CE47" s="729"/>
      <c r="CF47" s="729"/>
      <c r="CG47" s="729"/>
      <c r="CH47" s="729"/>
      <c r="CI47" s="729"/>
      <c r="CJ47" s="729"/>
      <c r="CK47" s="729"/>
      <c r="CL47" s="729"/>
      <c r="CM47" s="729"/>
      <c r="CN47" s="729"/>
      <c r="CO47" s="729"/>
      <c r="CP47" s="729"/>
      <c r="CQ47" s="729"/>
      <c r="CR47" s="729"/>
      <c r="CS47" s="729"/>
      <c r="CT47" s="729"/>
      <c r="CU47" s="729"/>
      <c r="CV47" s="729"/>
      <c r="CW47" s="729"/>
      <c r="CX47" s="729"/>
      <c r="CY47" s="729"/>
      <c r="CZ47" s="729"/>
      <c r="DA47" s="729"/>
      <c r="DB47" s="729"/>
      <c r="DC47" s="729"/>
      <c r="DD47" s="729"/>
      <c r="DE47" s="729"/>
      <c r="DF47" s="729"/>
      <c r="DG47" s="729"/>
      <c r="DH47" s="729"/>
      <c r="DI47" s="729"/>
      <c r="DJ47" s="729"/>
      <c r="DK47" s="729"/>
      <c r="DL47" s="729"/>
      <c r="DM47" s="729"/>
      <c r="DN47" s="729"/>
    </row>
    <row r="48" spans="1:118" ht="34.5" customHeight="1">
      <c r="AJ48" s="738"/>
      <c r="AK48" s="738"/>
      <c r="AL48" s="738"/>
      <c r="AM48" s="738"/>
      <c r="AN48" s="738"/>
      <c r="AO48" s="738"/>
      <c r="AP48" s="738"/>
      <c r="AQ48" s="738"/>
      <c r="AR48" s="738"/>
      <c r="AS48" s="738"/>
      <c r="AT48" s="738"/>
      <c r="AU48" s="738"/>
      <c r="AV48" s="738"/>
      <c r="AW48" s="738"/>
      <c r="AX48" s="738"/>
      <c r="AY48" s="738"/>
      <c r="AZ48" s="738"/>
      <c r="BA48" s="738"/>
      <c r="BB48" s="738"/>
      <c r="BC48" s="738"/>
      <c r="BD48" s="738"/>
      <c r="BE48" s="738"/>
      <c r="BF48" s="1892"/>
      <c r="BG48" s="738"/>
      <c r="BH48" s="738"/>
      <c r="BI48" s="738"/>
      <c r="BJ48" s="738"/>
      <c r="BK48" s="738"/>
      <c r="BL48" s="738"/>
      <c r="BM48" s="738"/>
      <c r="BN48" s="738"/>
      <c r="BO48" s="738"/>
      <c r="BP48" s="738"/>
      <c r="BQ48" s="738"/>
      <c r="BR48" s="738"/>
      <c r="BS48" s="738"/>
      <c r="BT48" s="738"/>
      <c r="BU48" s="738"/>
      <c r="BV48" s="738"/>
      <c r="BW48" s="738"/>
      <c r="BX48" s="738"/>
      <c r="BY48" s="738"/>
      <c r="BZ48" s="738"/>
      <c r="CA48" s="738"/>
      <c r="CB48" s="738"/>
      <c r="CC48" s="738"/>
      <c r="CD48" s="738"/>
      <c r="CE48" s="729"/>
      <c r="CF48" s="729"/>
      <c r="CG48" s="729"/>
      <c r="CH48" s="729"/>
      <c r="CI48" s="729"/>
      <c r="CJ48" s="729"/>
      <c r="CK48" s="729"/>
      <c r="CL48" s="729"/>
      <c r="CM48" s="729"/>
      <c r="CN48" s="729"/>
      <c r="CO48" s="729"/>
      <c r="CP48" s="729"/>
      <c r="CQ48" s="729"/>
      <c r="CR48" s="729"/>
      <c r="CS48" s="729"/>
      <c r="CT48" s="729"/>
      <c r="CU48" s="729"/>
      <c r="CV48" s="729"/>
      <c r="CW48" s="729"/>
      <c r="CX48" s="729"/>
      <c r="CY48" s="729"/>
      <c r="CZ48" s="729"/>
      <c r="DA48" s="729"/>
      <c r="DB48" s="729"/>
      <c r="DC48" s="729"/>
      <c r="DD48" s="729"/>
      <c r="DE48" s="729"/>
      <c r="DF48" s="729"/>
      <c r="DG48" s="729"/>
      <c r="DH48" s="729"/>
      <c r="DI48" s="729"/>
      <c r="DJ48" s="729"/>
      <c r="DK48" s="729"/>
      <c r="DL48" s="729"/>
      <c r="DM48" s="729"/>
      <c r="DN48" s="729"/>
    </row>
    <row r="49" spans="1:118" ht="15.75">
      <c r="C49" s="784"/>
      <c r="D49" s="784"/>
      <c r="E49" s="784"/>
      <c r="F49" s="784"/>
      <c r="G49" s="784"/>
      <c r="H49" s="784"/>
      <c r="I49" s="784"/>
      <c r="J49" s="784"/>
      <c r="K49" s="784"/>
      <c r="L49" s="784"/>
      <c r="M49" s="784"/>
      <c r="N49" s="784"/>
      <c r="O49" s="784"/>
      <c r="P49" s="784"/>
      <c r="Q49" s="784"/>
      <c r="R49" s="784"/>
      <c r="S49" s="784"/>
      <c r="T49" s="784"/>
      <c r="U49" s="784"/>
      <c r="V49" s="784"/>
      <c r="W49" s="784"/>
      <c r="X49" s="784"/>
      <c r="Y49" s="784"/>
      <c r="Z49" s="784"/>
      <c r="AA49" s="784"/>
      <c r="AB49" s="784"/>
      <c r="AC49" s="2145"/>
      <c r="AD49" s="784"/>
      <c r="AE49" s="784"/>
      <c r="AF49" s="784"/>
      <c r="AG49" s="784"/>
      <c r="AH49" s="784"/>
      <c r="AI49" s="784"/>
      <c r="AJ49" s="784"/>
      <c r="AK49" s="784"/>
      <c r="AL49" s="784"/>
      <c r="AM49" s="784"/>
      <c r="AN49" s="263"/>
      <c r="AO49" s="263"/>
      <c r="AP49" s="263"/>
      <c r="AQ49" s="263"/>
      <c r="AR49" s="263"/>
      <c r="AS49" s="263"/>
      <c r="AT49" s="263"/>
      <c r="AU49" s="263"/>
      <c r="AV49" s="263"/>
      <c r="AW49" s="263"/>
      <c r="AX49" s="263"/>
      <c r="AY49" s="263"/>
      <c r="AZ49" s="263"/>
      <c r="BA49" s="263"/>
      <c r="BB49" s="263"/>
      <c r="BC49" s="263"/>
      <c r="BD49" s="263"/>
      <c r="BE49" s="263"/>
      <c r="BF49" s="2148"/>
      <c r="BG49" s="785"/>
      <c r="BH49" s="263"/>
      <c r="BI49" s="263"/>
      <c r="BJ49" s="263"/>
      <c r="BK49" s="263"/>
      <c r="BL49" s="263"/>
      <c r="BM49" s="263"/>
      <c r="BN49" s="263"/>
      <c r="BO49" s="785"/>
      <c r="BP49" s="263"/>
      <c r="BQ49" s="263"/>
      <c r="BR49" s="263"/>
      <c r="BS49" s="263"/>
      <c r="BT49" s="263"/>
      <c r="BU49" s="263"/>
      <c r="BV49" s="263"/>
      <c r="BW49" s="785"/>
      <c r="BX49" s="263"/>
      <c r="BY49" s="263"/>
      <c r="BZ49" s="263"/>
      <c r="CA49" s="263"/>
      <c r="CB49" s="263"/>
      <c r="CC49" s="263"/>
      <c r="CD49" s="263"/>
      <c r="CE49" s="263"/>
      <c r="CF49" s="263"/>
      <c r="CG49" s="263"/>
      <c r="CH49" s="263"/>
      <c r="CI49" s="263"/>
      <c r="CJ49" s="263"/>
      <c r="CK49" s="263"/>
      <c r="CL49" s="729"/>
      <c r="CM49" s="729"/>
      <c r="CN49" s="729"/>
      <c r="CO49" s="729"/>
      <c r="CP49" s="729"/>
      <c r="CQ49" s="729"/>
      <c r="CR49" s="729"/>
      <c r="CS49" s="729"/>
      <c r="CT49" s="729"/>
      <c r="CU49" s="729"/>
      <c r="CV49" s="729"/>
      <c r="CW49" s="729"/>
      <c r="CX49" s="729"/>
      <c r="CY49" s="729"/>
      <c r="CZ49" s="729"/>
      <c r="DA49" s="729"/>
      <c r="DB49" s="729"/>
      <c r="DC49" s="729"/>
      <c r="DD49" s="729"/>
      <c r="DE49" s="729"/>
      <c r="DF49" s="729"/>
      <c r="DG49" s="729"/>
      <c r="DH49" s="729"/>
      <c r="DI49" s="729"/>
      <c r="DJ49" s="729"/>
      <c r="DK49" s="729"/>
      <c r="DL49" s="729"/>
      <c r="DM49" s="729"/>
      <c r="DN49" s="729"/>
    </row>
    <row r="50" spans="1:118" ht="15.75">
      <c r="A50" s="784"/>
      <c r="B50" s="784"/>
      <c r="C50" s="786"/>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2146"/>
      <c r="AD50" s="786"/>
      <c r="AE50" s="786"/>
      <c r="AF50" s="786"/>
      <c r="AG50" s="786"/>
      <c r="AH50" s="786"/>
      <c r="AI50" s="786"/>
      <c r="AJ50" s="786"/>
      <c r="AK50" s="786"/>
      <c r="AL50" s="786"/>
      <c r="AM50" s="786"/>
    </row>
    <row r="51" spans="1:118">
      <c r="A51" s="786"/>
      <c r="B51" s="786"/>
      <c r="C51" s="786"/>
      <c r="D51" s="786"/>
      <c r="E51" s="786"/>
      <c r="F51" s="786"/>
      <c r="G51" s="786"/>
      <c r="H51" s="786"/>
      <c r="I51" s="786"/>
      <c r="J51" s="786"/>
      <c r="K51" s="786"/>
      <c r="L51" s="786"/>
      <c r="M51" s="786"/>
      <c r="N51" s="786"/>
      <c r="O51" s="786"/>
      <c r="P51" s="786"/>
      <c r="Q51" s="786"/>
      <c r="R51" s="786"/>
      <c r="S51" s="786"/>
      <c r="T51" s="786"/>
      <c r="U51" s="786"/>
      <c r="V51" s="786"/>
      <c r="W51" s="786"/>
      <c r="X51" s="786"/>
      <c r="Y51" s="786"/>
      <c r="Z51" s="786"/>
      <c r="AA51" s="786"/>
      <c r="AB51" s="786"/>
      <c r="AC51" s="2146"/>
      <c r="AD51" s="786"/>
      <c r="AE51" s="786"/>
      <c r="AF51" s="786"/>
      <c r="AG51" s="786"/>
      <c r="AH51" s="786"/>
      <c r="AI51" s="786"/>
      <c r="AJ51" s="786"/>
      <c r="AK51" s="786"/>
      <c r="AL51" s="786"/>
      <c r="AM51" s="786"/>
    </row>
    <row r="52" spans="1:118">
      <c r="A52" s="786"/>
      <c r="B52" s="786"/>
      <c r="C52" s="786"/>
      <c r="D52" s="786"/>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786"/>
      <c r="AC52" s="2146"/>
      <c r="AD52" s="786"/>
      <c r="AE52" s="786"/>
      <c r="AF52" s="786"/>
      <c r="AG52" s="786"/>
      <c r="AH52" s="786"/>
      <c r="AI52" s="786"/>
      <c r="AJ52" s="786"/>
      <c r="AK52" s="786"/>
      <c r="AL52" s="786"/>
      <c r="AM52" s="786"/>
    </row>
    <row r="53" spans="1:118">
      <c r="A53" s="786"/>
      <c r="B53" s="786"/>
      <c r="C53" s="786"/>
      <c r="D53" s="786"/>
      <c r="E53" s="786"/>
      <c r="F53" s="786"/>
      <c r="G53" s="786"/>
      <c r="H53" s="786"/>
      <c r="I53" s="786"/>
      <c r="J53" s="786"/>
      <c r="K53" s="786"/>
      <c r="L53" s="786"/>
      <c r="M53" s="786"/>
      <c r="N53" s="786"/>
      <c r="O53" s="786"/>
      <c r="P53" s="786"/>
      <c r="Q53" s="786"/>
      <c r="R53" s="786"/>
      <c r="S53" s="786"/>
      <c r="T53" s="786"/>
      <c r="U53" s="786"/>
      <c r="V53" s="786"/>
      <c r="W53" s="786"/>
      <c r="X53" s="786"/>
      <c r="Y53" s="786"/>
      <c r="Z53" s="786"/>
      <c r="AA53" s="786"/>
      <c r="AB53" s="786"/>
      <c r="AC53" s="2146"/>
      <c r="AD53" s="786"/>
      <c r="AE53" s="786"/>
      <c r="AF53" s="786"/>
      <c r="AG53" s="786"/>
      <c r="AH53" s="786"/>
      <c r="AI53" s="786"/>
      <c r="AJ53" s="786"/>
      <c r="AK53" s="786"/>
      <c r="AL53" s="786"/>
      <c r="AM53" s="786"/>
    </row>
    <row r="54" spans="1:118">
      <c r="A54" s="786"/>
      <c r="B54" s="786"/>
      <c r="C54" s="786"/>
      <c r="D54" s="786"/>
      <c r="E54" s="786"/>
      <c r="F54" s="786"/>
      <c r="G54" s="786"/>
      <c r="H54" s="786"/>
      <c r="I54" s="786"/>
      <c r="J54" s="786"/>
      <c r="K54" s="786"/>
      <c r="L54" s="786"/>
      <c r="M54" s="786"/>
      <c r="N54" s="786"/>
      <c r="O54" s="786"/>
      <c r="P54" s="786"/>
      <c r="Q54" s="786"/>
      <c r="R54" s="786"/>
      <c r="S54" s="786"/>
      <c r="T54" s="786"/>
      <c r="U54" s="786"/>
      <c r="V54" s="786"/>
      <c r="W54" s="786"/>
      <c r="X54" s="786"/>
      <c r="Y54" s="786"/>
      <c r="Z54" s="786"/>
      <c r="AA54" s="786"/>
      <c r="AB54" s="786"/>
      <c r="AC54" s="2146"/>
      <c r="AD54" s="786"/>
      <c r="AE54" s="786"/>
      <c r="AF54" s="786"/>
      <c r="AG54" s="786"/>
      <c r="AH54" s="786"/>
      <c r="AI54" s="786"/>
      <c r="AJ54" s="786"/>
      <c r="AK54" s="786"/>
      <c r="AL54" s="786"/>
      <c r="AM54" s="786"/>
    </row>
    <row r="55" spans="1:118">
      <c r="A55" s="786"/>
      <c r="B55" s="786"/>
      <c r="C55" s="786"/>
      <c r="D55" s="78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2146"/>
      <c r="AD55" s="786"/>
      <c r="AE55" s="786"/>
      <c r="AF55" s="786"/>
      <c r="AG55" s="786"/>
      <c r="AH55" s="786"/>
      <c r="AI55" s="786"/>
      <c r="AJ55" s="786"/>
      <c r="AK55" s="786"/>
      <c r="AL55" s="786"/>
      <c r="AM55" s="786"/>
    </row>
    <row r="56" spans="1:118">
      <c r="A56" s="786"/>
      <c r="B56" s="786"/>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2146"/>
      <c r="AD56" s="786"/>
      <c r="AE56" s="786"/>
      <c r="AF56" s="786"/>
      <c r="AG56" s="786"/>
      <c r="AH56" s="786"/>
      <c r="AI56" s="786"/>
      <c r="AJ56" s="786"/>
      <c r="AK56" s="786"/>
      <c r="AL56" s="786"/>
      <c r="AM56" s="786"/>
    </row>
    <row r="57" spans="1:118">
      <c r="A57" s="786"/>
      <c r="B57" s="786"/>
      <c r="C57" s="786"/>
      <c r="D57" s="786"/>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2146"/>
      <c r="AD57" s="786"/>
      <c r="AE57" s="786"/>
      <c r="AF57" s="786"/>
      <c r="AG57" s="786"/>
      <c r="AH57" s="786"/>
      <c r="AI57" s="786"/>
      <c r="AJ57" s="786"/>
      <c r="AK57" s="786"/>
      <c r="AL57" s="786"/>
      <c r="AM57" s="786"/>
    </row>
    <row r="58" spans="1:118">
      <c r="A58" s="786"/>
      <c r="B58" s="786"/>
      <c r="C58" s="786"/>
      <c r="D58" s="786"/>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2146"/>
      <c r="AD58" s="786"/>
      <c r="AE58" s="786"/>
      <c r="AF58" s="786"/>
      <c r="AG58" s="786"/>
      <c r="AH58" s="786"/>
      <c r="AI58" s="786"/>
      <c r="AJ58" s="786"/>
      <c r="AK58" s="786"/>
      <c r="AL58" s="786"/>
      <c r="AM58" s="786"/>
    </row>
    <row r="59" spans="1:118">
      <c r="A59" s="786"/>
      <c r="B59" s="786"/>
      <c r="C59" s="786"/>
      <c r="D59" s="786"/>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2146"/>
      <c r="AD59" s="786"/>
      <c r="AE59" s="786"/>
      <c r="AF59" s="786"/>
      <c r="AG59" s="786"/>
      <c r="AH59" s="786"/>
      <c r="AI59" s="786"/>
      <c r="AJ59" s="786"/>
      <c r="AK59" s="786"/>
      <c r="AL59" s="786"/>
      <c r="AM59" s="786"/>
    </row>
    <row r="60" spans="1:118">
      <c r="A60" s="786"/>
      <c r="B60" s="786"/>
      <c r="C60" s="786"/>
      <c r="D60" s="786"/>
      <c r="E60" s="786"/>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2146"/>
      <c r="AD60" s="786"/>
      <c r="AE60" s="786"/>
      <c r="AF60" s="786"/>
      <c r="AG60" s="786"/>
      <c r="AH60" s="786"/>
      <c r="AI60" s="786"/>
      <c r="AJ60" s="786"/>
      <c r="AK60" s="786"/>
      <c r="AL60" s="786"/>
      <c r="AM60" s="786"/>
    </row>
    <row r="61" spans="1:118">
      <c r="A61" s="786"/>
      <c r="B61" s="786"/>
      <c r="C61" s="786"/>
      <c r="D61" s="786"/>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2146"/>
      <c r="AD61" s="786"/>
      <c r="AE61" s="786"/>
      <c r="AF61" s="786"/>
      <c r="AG61" s="786"/>
      <c r="AH61" s="786"/>
      <c r="AI61" s="786"/>
      <c r="AJ61" s="786"/>
      <c r="AK61" s="786"/>
      <c r="AL61" s="786"/>
      <c r="AM61" s="786"/>
    </row>
    <row r="62" spans="1:118">
      <c r="A62" s="786"/>
      <c r="B62" s="786"/>
      <c r="C62" s="786"/>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2146"/>
      <c r="AD62" s="786"/>
      <c r="AE62" s="786"/>
      <c r="AF62" s="786"/>
      <c r="AG62" s="786"/>
      <c r="AH62" s="786"/>
      <c r="AI62" s="786"/>
      <c r="AJ62" s="786"/>
      <c r="AK62" s="786"/>
      <c r="AL62" s="786"/>
      <c r="AM62" s="786"/>
    </row>
    <row r="63" spans="1:118">
      <c r="A63" s="786"/>
      <c r="B63" s="786"/>
      <c r="C63" s="786"/>
      <c r="D63" s="786"/>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2146"/>
      <c r="AD63" s="786"/>
      <c r="AE63" s="786"/>
      <c r="AF63" s="786"/>
      <c r="AG63" s="786"/>
      <c r="AH63" s="786"/>
      <c r="AI63" s="786"/>
      <c r="AJ63" s="786"/>
      <c r="AK63" s="786"/>
      <c r="AL63" s="786"/>
      <c r="AM63" s="786"/>
    </row>
    <row r="64" spans="1:118">
      <c r="A64" s="786"/>
      <c r="B64" s="786"/>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2146"/>
      <c r="AD64" s="786"/>
      <c r="AE64" s="786"/>
      <c r="AF64" s="786"/>
      <c r="AG64" s="786"/>
      <c r="AH64" s="786"/>
      <c r="AI64" s="786"/>
      <c r="AJ64" s="786"/>
      <c r="AK64" s="786"/>
      <c r="AL64" s="786"/>
      <c r="AM64" s="786"/>
    </row>
    <row r="65" spans="1:39">
      <c r="A65" s="786"/>
      <c r="B65" s="786"/>
      <c r="C65" s="786"/>
      <c r="D65" s="786"/>
      <c r="E65" s="786"/>
      <c r="F65" s="786"/>
      <c r="G65" s="786"/>
      <c r="H65" s="786"/>
      <c r="I65" s="786"/>
      <c r="J65" s="786"/>
      <c r="K65" s="786"/>
      <c r="L65" s="786"/>
      <c r="M65" s="786"/>
      <c r="N65" s="786"/>
      <c r="O65" s="786"/>
      <c r="P65" s="786"/>
      <c r="Q65" s="786"/>
      <c r="R65" s="786"/>
      <c r="S65" s="786"/>
      <c r="T65" s="786"/>
      <c r="U65" s="786"/>
      <c r="V65" s="786"/>
      <c r="W65" s="786"/>
      <c r="X65" s="786"/>
      <c r="Y65" s="786"/>
      <c r="Z65" s="786"/>
      <c r="AA65" s="786"/>
      <c r="AB65" s="786"/>
      <c r="AC65" s="2146"/>
      <c r="AD65" s="786"/>
      <c r="AE65" s="786"/>
      <c r="AF65" s="786"/>
      <c r="AG65" s="786"/>
      <c r="AH65" s="786"/>
      <c r="AI65" s="786"/>
      <c r="AJ65" s="786"/>
      <c r="AK65" s="786"/>
      <c r="AL65" s="786"/>
      <c r="AM65" s="786"/>
    </row>
    <row r="66" spans="1:39">
      <c r="A66" s="786"/>
      <c r="B66" s="786"/>
      <c r="C66" s="786"/>
      <c r="D66" s="786"/>
      <c r="E66" s="786"/>
      <c r="F66" s="786"/>
      <c r="G66" s="786"/>
      <c r="H66" s="786"/>
      <c r="I66" s="786"/>
      <c r="J66" s="786"/>
      <c r="K66" s="786"/>
      <c r="L66" s="786"/>
      <c r="M66" s="786"/>
      <c r="N66" s="786"/>
      <c r="O66" s="786"/>
      <c r="P66" s="786"/>
      <c r="Q66" s="786"/>
      <c r="R66" s="786"/>
      <c r="S66" s="786"/>
      <c r="T66" s="786"/>
      <c r="U66" s="786"/>
      <c r="V66" s="786"/>
      <c r="W66" s="786"/>
      <c r="X66" s="786"/>
      <c r="Y66" s="786"/>
      <c r="Z66" s="786"/>
      <c r="AA66" s="786"/>
      <c r="AB66" s="786"/>
      <c r="AC66" s="2146"/>
      <c r="AD66" s="786"/>
      <c r="AE66" s="786"/>
      <c r="AF66" s="786"/>
      <c r="AG66" s="786"/>
      <c r="AH66" s="786"/>
      <c r="AI66" s="786"/>
      <c r="AJ66" s="786"/>
      <c r="AK66" s="786"/>
      <c r="AL66" s="786"/>
      <c r="AM66" s="786"/>
    </row>
    <row r="67" spans="1:39">
      <c r="A67" s="786"/>
      <c r="B67" s="786"/>
      <c r="C67" s="786"/>
      <c r="D67" s="786"/>
      <c r="E67" s="786"/>
      <c r="F67" s="786"/>
      <c r="G67" s="786"/>
      <c r="H67" s="786"/>
      <c r="I67" s="786"/>
      <c r="J67" s="786"/>
      <c r="K67" s="786"/>
      <c r="L67" s="786"/>
      <c r="M67" s="786"/>
      <c r="N67" s="786"/>
      <c r="O67" s="786"/>
      <c r="P67" s="786"/>
      <c r="Q67" s="786"/>
      <c r="R67" s="786"/>
      <c r="S67" s="786"/>
      <c r="T67" s="786"/>
      <c r="U67" s="786"/>
      <c r="V67" s="786"/>
      <c r="W67" s="786"/>
      <c r="X67" s="786"/>
      <c r="Y67" s="786"/>
      <c r="Z67" s="786"/>
      <c r="AA67" s="786"/>
      <c r="AB67" s="786"/>
      <c r="AC67" s="2146"/>
      <c r="AD67" s="786"/>
      <c r="AE67" s="786"/>
      <c r="AF67" s="786"/>
      <c r="AG67" s="786"/>
      <c r="AH67" s="786"/>
      <c r="AI67" s="786"/>
      <c r="AJ67" s="786"/>
      <c r="AK67" s="786"/>
      <c r="AL67" s="786"/>
      <c r="AM67" s="786"/>
    </row>
    <row r="68" spans="1:39">
      <c r="A68" s="786"/>
      <c r="B68" s="786"/>
      <c r="C68" s="786"/>
      <c r="D68" s="786"/>
      <c r="E68" s="786"/>
      <c r="F68" s="786"/>
      <c r="G68" s="786"/>
      <c r="H68" s="786"/>
      <c r="I68" s="786"/>
      <c r="J68" s="786"/>
      <c r="K68" s="786"/>
      <c r="L68" s="786"/>
      <c r="M68" s="786"/>
      <c r="N68" s="786"/>
      <c r="O68" s="786"/>
      <c r="P68" s="786"/>
      <c r="Q68" s="786"/>
      <c r="R68" s="786"/>
      <c r="S68" s="786"/>
      <c r="T68" s="786"/>
      <c r="U68" s="786"/>
      <c r="V68" s="786"/>
      <c r="W68" s="786"/>
      <c r="X68" s="786"/>
      <c r="Y68" s="786"/>
      <c r="Z68" s="786"/>
      <c r="AA68" s="786"/>
      <c r="AB68" s="786"/>
      <c r="AC68" s="2146"/>
      <c r="AD68" s="786"/>
      <c r="AE68" s="786"/>
      <c r="AF68" s="786"/>
      <c r="AG68" s="786"/>
      <c r="AH68" s="786"/>
      <c r="AI68" s="786"/>
      <c r="AJ68" s="786"/>
      <c r="AK68" s="786"/>
      <c r="AL68" s="786"/>
      <c r="AM68" s="786"/>
    </row>
    <row r="69" spans="1:39">
      <c r="A69" s="786"/>
      <c r="B69" s="786"/>
      <c r="C69" s="786"/>
      <c r="D69" s="786"/>
      <c r="E69" s="786"/>
      <c r="F69" s="786"/>
      <c r="G69" s="786"/>
      <c r="H69" s="786"/>
      <c r="I69" s="786"/>
      <c r="J69" s="786"/>
      <c r="K69" s="786"/>
      <c r="L69" s="786"/>
      <c r="M69" s="786"/>
      <c r="N69" s="786"/>
      <c r="O69" s="786"/>
      <c r="P69" s="786"/>
      <c r="Q69" s="786"/>
      <c r="R69" s="786"/>
      <c r="S69" s="786"/>
      <c r="T69" s="786"/>
      <c r="U69" s="786"/>
      <c r="V69" s="786"/>
      <c r="W69" s="786"/>
      <c r="X69" s="786"/>
      <c r="Y69" s="786"/>
      <c r="Z69" s="786"/>
      <c r="AA69" s="786"/>
      <c r="AB69" s="786"/>
      <c r="AC69" s="2146"/>
      <c r="AD69" s="786"/>
      <c r="AE69" s="786"/>
      <c r="AF69" s="786"/>
      <c r="AG69" s="786"/>
      <c r="AH69" s="786"/>
      <c r="AI69" s="786"/>
      <c r="AJ69" s="786"/>
      <c r="AK69" s="786"/>
      <c r="AL69" s="786"/>
      <c r="AM69" s="786"/>
    </row>
    <row r="70" spans="1:39">
      <c r="A70" s="786"/>
      <c r="B70" s="786"/>
      <c r="C70" s="786"/>
      <c r="D70" s="786"/>
      <c r="E70" s="786"/>
      <c r="F70" s="786"/>
      <c r="G70" s="786"/>
      <c r="H70" s="786"/>
      <c r="I70" s="786"/>
      <c r="J70" s="786"/>
      <c r="K70" s="786"/>
      <c r="L70" s="786"/>
      <c r="M70" s="786"/>
      <c r="N70" s="786"/>
      <c r="O70" s="786"/>
      <c r="P70" s="786"/>
      <c r="Q70" s="786"/>
      <c r="R70" s="786"/>
      <c r="S70" s="786"/>
      <c r="T70" s="786"/>
      <c r="U70" s="786"/>
      <c r="V70" s="786"/>
      <c r="W70" s="786"/>
      <c r="X70" s="786"/>
      <c r="Y70" s="786"/>
      <c r="Z70" s="786"/>
      <c r="AA70" s="786"/>
      <c r="AB70" s="786"/>
      <c r="AC70" s="2146"/>
      <c r="AD70" s="786"/>
      <c r="AE70" s="786"/>
      <c r="AF70" s="786"/>
      <c r="AG70" s="786"/>
      <c r="AH70" s="786"/>
      <c r="AI70" s="786"/>
      <c r="AJ70" s="786"/>
      <c r="AK70" s="786"/>
      <c r="AL70" s="786"/>
      <c r="AM70" s="786"/>
    </row>
    <row r="71" spans="1:39">
      <c r="A71" s="786"/>
      <c r="B71" s="786"/>
      <c r="C71" s="786"/>
      <c r="D71" s="786"/>
      <c r="E71" s="786"/>
      <c r="F71" s="786"/>
      <c r="G71" s="786"/>
      <c r="H71" s="786"/>
      <c r="I71" s="786"/>
      <c r="J71" s="786"/>
      <c r="K71" s="786"/>
      <c r="L71" s="786"/>
      <c r="M71" s="786"/>
      <c r="N71" s="786"/>
      <c r="O71" s="786"/>
      <c r="P71" s="786"/>
      <c r="Q71" s="786"/>
      <c r="R71" s="786"/>
      <c r="S71" s="786"/>
      <c r="T71" s="786"/>
      <c r="U71" s="786"/>
      <c r="V71" s="786"/>
      <c r="W71" s="786"/>
      <c r="X71" s="786"/>
      <c r="Y71" s="786"/>
      <c r="Z71" s="786"/>
      <c r="AA71" s="786"/>
      <c r="AB71" s="786"/>
      <c r="AC71" s="2146"/>
      <c r="AD71" s="786"/>
      <c r="AE71" s="786"/>
      <c r="AF71" s="786"/>
      <c r="AG71" s="786"/>
      <c r="AH71" s="786"/>
      <c r="AI71" s="786"/>
      <c r="AJ71" s="786"/>
      <c r="AK71" s="786"/>
      <c r="AL71" s="786"/>
      <c r="AM71" s="786"/>
    </row>
    <row r="72" spans="1:39">
      <c r="A72" s="786"/>
      <c r="B72" s="786"/>
      <c r="C72" s="786"/>
      <c r="D72" s="786"/>
      <c r="E72" s="786"/>
      <c r="F72" s="786"/>
      <c r="G72" s="786"/>
      <c r="H72" s="786"/>
      <c r="I72" s="786"/>
      <c r="J72" s="786"/>
      <c r="K72" s="786"/>
      <c r="L72" s="786"/>
      <c r="M72" s="786"/>
      <c r="N72" s="786"/>
      <c r="O72" s="786"/>
      <c r="P72" s="786"/>
      <c r="Q72" s="786"/>
      <c r="R72" s="786"/>
      <c r="S72" s="786"/>
      <c r="T72" s="786"/>
      <c r="U72" s="786"/>
      <c r="V72" s="786"/>
      <c r="W72" s="786"/>
      <c r="X72" s="786"/>
      <c r="Y72" s="786"/>
      <c r="Z72" s="786"/>
      <c r="AA72" s="786"/>
      <c r="AB72" s="786"/>
      <c r="AC72" s="2146"/>
      <c r="AD72" s="786"/>
      <c r="AE72" s="786"/>
      <c r="AF72" s="786"/>
      <c r="AG72" s="786"/>
      <c r="AH72" s="786"/>
      <c r="AI72" s="786"/>
      <c r="AJ72" s="786"/>
      <c r="AK72" s="786"/>
      <c r="AL72" s="786"/>
      <c r="AM72" s="786"/>
    </row>
    <row r="73" spans="1:39">
      <c r="A73" s="786"/>
      <c r="B73" s="786"/>
      <c r="C73" s="786"/>
      <c r="D73" s="786"/>
      <c r="E73" s="786"/>
      <c r="F73" s="786"/>
      <c r="G73" s="786"/>
      <c r="H73" s="786"/>
      <c r="I73" s="786"/>
      <c r="J73" s="786"/>
      <c r="K73" s="786"/>
      <c r="L73" s="786"/>
      <c r="M73" s="786"/>
      <c r="N73" s="786"/>
      <c r="O73" s="786"/>
      <c r="P73" s="786"/>
      <c r="Q73" s="786"/>
      <c r="R73" s="786"/>
      <c r="S73" s="786"/>
      <c r="T73" s="786"/>
      <c r="U73" s="786"/>
      <c r="V73" s="786"/>
      <c r="W73" s="786"/>
      <c r="X73" s="786"/>
      <c r="Y73" s="786"/>
      <c r="Z73" s="786"/>
      <c r="AA73" s="786"/>
      <c r="AB73" s="786"/>
      <c r="AC73" s="2146"/>
      <c r="AD73" s="786"/>
      <c r="AE73" s="786"/>
      <c r="AF73" s="786"/>
      <c r="AG73" s="786"/>
      <c r="AH73" s="786"/>
      <c r="AI73" s="786"/>
      <c r="AJ73" s="786"/>
      <c r="AK73" s="786"/>
      <c r="AL73" s="786"/>
      <c r="AM73" s="786"/>
    </row>
    <row r="74" spans="1:39">
      <c r="A74" s="786"/>
      <c r="B74" s="786"/>
      <c r="C74" s="786"/>
      <c r="D74" s="786"/>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2146"/>
      <c r="AD74" s="786"/>
      <c r="AE74" s="786"/>
      <c r="AF74" s="786"/>
      <c r="AG74" s="786"/>
      <c r="AH74" s="786"/>
      <c r="AI74" s="786"/>
      <c r="AJ74" s="786"/>
      <c r="AK74" s="786"/>
      <c r="AL74" s="786"/>
      <c r="AM74" s="786"/>
    </row>
    <row r="75" spans="1:39">
      <c r="A75" s="786"/>
      <c r="B75" s="786"/>
      <c r="C75" s="786"/>
      <c r="D75" s="786"/>
      <c r="E75" s="786"/>
      <c r="F75" s="786"/>
      <c r="G75" s="786"/>
      <c r="H75" s="786"/>
      <c r="I75" s="786"/>
      <c r="J75" s="786"/>
      <c r="K75" s="786"/>
      <c r="L75" s="786"/>
      <c r="M75" s="786"/>
      <c r="N75" s="786"/>
      <c r="O75" s="786"/>
      <c r="P75" s="786"/>
      <c r="Q75" s="786"/>
      <c r="R75" s="786"/>
      <c r="S75" s="786"/>
      <c r="T75" s="786"/>
      <c r="U75" s="786"/>
      <c r="V75" s="786"/>
      <c r="W75" s="786"/>
      <c r="X75" s="786"/>
      <c r="Y75" s="786"/>
      <c r="Z75" s="786"/>
      <c r="AA75" s="786"/>
      <c r="AB75" s="786"/>
      <c r="AC75" s="2146"/>
      <c r="AD75" s="786"/>
      <c r="AE75" s="786"/>
      <c r="AF75" s="786"/>
      <c r="AG75" s="786"/>
      <c r="AH75" s="786"/>
      <c r="AI75" s="786"/>
      <c r="AJ75" s="786"/>
      <c r="AK75" s="786"/>
      <c r="AL75" s="786"/>
      <c r="AM75" s="786"/>
    </row>
    <row r="76" spans="1:39">
      <c r="A76" s="786"/>
      <c r="B76" s="786"/>
      <c r="C76" s="786"/>
      <c r="D76" s="786"/>
      <c r="E76" s="786"/>
      <c r="F76" s="786"/>
      <c r="G76" s="786"/>
      <c r="H76" s="786"/>
      <c r="I76" s="786"/>
      <c r="J76" s="786"/>
      <c r="K76" s="786"/>
      <c r="L76" s="786"/>
      <c r="M76" s="786"/>
      <c r="N76" s="786"/>
      <c r="O76" s="786"/>
      <c r="P76" s="786"/>
      <c r="Q76" s="786"/>
      <c r="R76" s="786"/>
      <c r="S76" s="786"/>
      <c r="T76" s="786"/>
      <c r="U76" s="786"/>
      <c r="V76" s="786"/>
      <c r="W76" s="786"/>
      <c r="X76" s="786"/>
      <c r="Y76" s="786"/>
      <c r="Z76" s="786"/>
      <c r="AA76" s="786"/>
      <c r="AB76" s="786"/>
      <c r="AC76" s="2146"/>
      <c r="AD76" s="786"/>
      <c r="AE76" s="786"/>
      <c r="AF76" s="786"/>
      <c r="AG76" s="786"/>
      <c r="AH76" s="786"/>
      <c r="AI76" s="786"/>
      <c r="AJ76" s="786"/>
      <c r="AK76" s="786"/>
      <c r="AL76" s="786"/>
      <c r="AM76" s="786"/>
    </row>
    <row r="77" spans="1:39">
      <c r="A77" s="786"/>
      <c r="B77" s="786"/>
      <c r="C77" s="786"/>
      <c r="D77" s="786"/>
      <c r="E77" s="786"/>
      <c r="F77" s="786"/>
      <c r="G77" s="786"/>
      <c r="H77" s="786"/>
      <c r="I77" s="786"/>
      <c r="J77" s="786"/>
      <c r="K77" s="786"/>
      <c r="L77" s="786"/>
      <c r="M77" s="786"/>
      <c r="N77" s="786"/>
      <c r="O77" s="786"/>
      <c r="P77" s="786"/>
      <c r="Q77" s="786"/>
      <c r="R77" s="786"/>
      <c r="S77" s="786"/>
      <c r="T77" s="786"/>
      <c r="U77" s="786"/>
      <c r="V77" s="786"/>
      <c r="W77" s="786"/>
      <c r="X77" s="786"/>
      <c r="Y77" s="786"/>
      <c r="Z77" s="786"/>
      <c r="AA77" s="786"/>
      <c r="AB77" s="786"/>
      <c r="AC77" s="2146"/>
      <c r="AD77" s="786"/>
      <c r="AE77" s="786"/>
      <c r="AF77" s="786"/>
      <c r="AG77" s="786"/>
      <c r="AH77" s="786"/>
      <c r="AI77" s="786"/>
      <c r="AJ77" s="786"/>
      <c r="AK77" s="786"/>
      <c r="AL77" s="786"/>
      <c r="AM77" s="786"/>
    </row>
    <row r="78" spans="1:39">
      <c r="A78" s="786"/>
      <c r="B78" s="786"/>
      <c r="C78" s="786"/>
      <c r="D78" s="786"/>
      <c r="E78" s="786"/>
      <c r="F78" s="786"/>
      <c r="G78" s="786"/>
      <c r="H78" s="786"/>
      <c r="I78" s="786"/>
      <c r="J78" s="786"/>
      <c r="K78" s="786"/>
      <c r="L78" s="786"/>
      <c r="M78" s="786"/>
      <c r="N78" s="786"/>
      <c r="O78" s="786"/>
      <c r="P78" s="786"/>
      <c r="Q78" s="786"/>
      <c r="R78" s="786"/>
      <c r="S78" s="786"/>
      <c r="T78" s="786"/>
      <c r="U78" s="786"/>
      <c r="V78" s="786"/>
      <c r="W78" s="786"/>
      <c r="X78" s="786"/>
      <c r="Y78" s="786"/>
      <c r="Z78" s="786"/>
      <c r="AA78" s="786"/>
      <c r="AB78" s="786"/>
      <c r="AC78" s="2146"/>
      <c r="AD78" s="786"/>
      <c r="AE78" s="786"/>
      <c r="AF78" s="786"/>
      <c r="AG78" s="786"/>
      <c r="AH78" s="786"/>
      <c r="AI78" s="786"/>
      <c r="AJ78" s="786"/>
      <c r="AK78" s="786"/>
      <c r="AL78" s="786"/>
      <c r="AM78" s="786"/>
    </row>
    <row r="79" spans="1:39">
      <c r="A79" s="786"/>
      <c r="B79" s="786"/>
      <c r="C79" s="786"/>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2146"/>
      <c r="AD79" s="786"/>
      <c r="AE79" s="786"/>
      <c r="AF79" s="786"/>
      <c r="AG79" s="786"/>
      <c r="AH79" s="786"/>
      <c r="AI79" s="786"/>
      <c r="AJ79" s="786"/>
      <c r="AK79" s="786"/>
      <c r="AL79" s="786"/>
      <c r="AM79" s="786"/>
    </row>
    <row r="80" spans="1:39">
      <c r="A80" s="786"/>
      <c r="B80" s="786"/>
      <c r="C80" s="786"/>
      <c r="D80" s="786"/>
      <c r="E80" s="786"/>
      <c r="F80" s="786"/>
      <c r="G80" s="786"/>
      <c r="H80" s="786"/>
      <c r="I80" s="786"/>
      <c r="J80" s="786"/>
      <c r="K80" s="786"/>
      <c r="L80" s="786"/>
      <c r="M80" s="786"/>
      <c r="N80" s="786"/>
      <c r="O80" s="786"/>
      <c r="P80" s="786"/>
      <c r="Q80" s="786"/>
      <c r="R80" s="786"/>
      <c r="S80" s="786"/>
      <c r="T80" s="786"/>
      <c r="U80" s="786"/>
      <c r="V80" s="786"/>
      <c r="W80" s="786"/>
      <c r="X80" s="786"/>
      <c r="Y80" s="786"/>
      <c r="Z80" s="786"/>
      <c r="AA80" s="786"/>
      <c r="AB80" s="786"/>
      <c r="AC80" s="2146"/>
      <c r="AD80" s="786"/>
      <c r="AE80" s="786"/>
      <c r="AF80" s="786"/>
      <c r="AG80" s="786"/>
      <c r="AH80" s="786"/>
      <c r="AI80" s="786"/>
      <c r="AJ80" s="786"/>
      <c r="AK80" s="786"/>
      <c r="AL80" s="786"/>
      <c r="AM80" s="786"/>
    </row>
    <row r="81" spans="1:39">
      <c r="A81" s="786"/>
      <c r="B81" s="786"/>
      <c r="C81" s="786"/>
      <c r="D81" s="786"/>
      <c r="E81" s="786"/>
      <c r="F81" s="786"/>
      <c r="G81" s="786"/>
      <c r="H81" s="786"/>
      <c r="I81" s="786"/>
      <c r="J81" s="786"/>
      <c r="K81" s="786"/>
      <c r="L81" s="786"/>
      <c r="M81" s="786"/>
      <c r="N81" s="786"/>
      <c r="O81" s="786"/>
      <c r="P81" s="786"/>
      <c r="Q81" s="786"/>
      <c r="R81" s="786"/>
      <c r="S81" s="786"/>
      <c r="T81" s="786"/>
      <c r="U81" s="786"/>
      <c r="V81" s="786"/>
      <c r="W81" s="786"/>
      <c r="X81" s="786"/>
      <c r="Y81" s="786"/>
      <c r="Z81" s="786"/>
      <c r="AA81" s="786"/>
      <c r="AB81" s="786"/>
      <c r="AC81" s="2146"/>
      <c r="AD81" s="786"/>
      <c r="AE81" s="786"/>
      <c r="AF81" s="786"/>
      <c r="AG81" s="786"/>
      <c r="AH81" s="786"/>
      <c r="AI81" s="786"/>
      <c r="AJ81" s="786"/>
      <c r="AK81" s="786"/>
      <c r="AL81" s="786"/>
      <c r="AM81" s="786"/>
    </row>
    <row r="82" spans="1:39">
      <c r="A82" s="786"/>
      <c r="B82" s="786"/>
      <c r="C82" s="786"/>
      <c r="D82" s="786"/>
      <c r="E82" s="786"/>
      <c r="F82" s="786"/>
      <c r="G82" s="786"/>
      <c r="H82" s="786"/>
      <c r="I82" s="786"/>
      <c r="J82" s="786"/>
      <c r="K82" s="786"/>
      <c r="L82" s="786"/>
      <c r="M82" s="786"/>
      <c r="N82" s="786"/>
      <c r="O82" s="786"/>
      <c r="P82" s="786"/>
      <c r="Q82" s="786"/>
      <c r="R82" s="786"/>
      <c r="S82" s="786"/>
      <c r="T82" s="786"/>
      <c r="U82" s="786"/>
      <c r="V82" s="786"/>
      <c r="W82" s="786"/>
      <c r="X82" s="786"/>
      <c r="Y82" s="786"/>
      <c r="Z82" s="786"/>
      <c r="AA82" s="786"/>
      <c r="AB82" s="786"/>
      <c r="AC82" s="2146"/>
      <c r="AD82" s="786"/>
      <c r="AE82" s="786"/>
      <c r="AF82" s="786"/>
      <c r="AG82" s="786"/>
      <c r="AH82" s="786"/>
      <c r="AI82" s="786"/>
      <c r="AJ82" s="786"/>
      <c r="AK82" s="786"/>
      <c r="AL82" s="786"/>
      <c r="AM82" s="786"/>
    </row>
    <row r="83" spans="1:39">
      <c r="A83" s="786"/>
      <c r="B83" s="786"/>
      <c r="C83" s="786"/>
      <c r="D83" s="786"/>
      <c r="E83" s="786"/>
      <c r="F83" s="786"/>
      <c r="G83" s="786"/>
      <c r="H83" s="786"/>
      <c r="I83" s="786"/>
      <c r="J83" s="786"/>
      <c r="K83" s="786"/>
      <c r="L83" s="786"/>
      <c r="M83" s="786"/>
      <c r="N83" s="786"/>
      <c r="O83" s="786"/>
      <c r="P83" s="786"/>
      <c r="Q83" s="786"/>
      <c r="R83" s="786"/>
      <c r="S83" s="786"/>
      <c r="T83" s="786"/>
      <c r="U83" s="786"/>
      <c r="V83" s="786"/>
      <c r="W83" s="786"/>
      <c r="X83" s="786"/>
      <c r="Y83" s="786"/>
      <c r="Z83" s="786"/>
      <c r="AA83" s="786"/>
      <c r="AB83" s="786"/>
      <c r="AC83" s="2146"/>
      <c r="AD83" s="786"/>
      <c r="AE83" s="786"/>
      <c r="AF83" s="786"/>
      <c r="AG83" s="786"/>
      <c r="AH83" s="786"/>
      <c r="AI83" s="786"/>
      <c r="AJ83" s="786"/>
      <c r="AK83" s="786"/>
      <c r="AL83" s="786"/>
      <c r="AM83" s="786"/>
    </row>
    <row r="84" spans="1:39">
      <c r="A84" s="786"/>
      <c r="B84" s="786"/>
      <c r="C84" s="786"/>
      <c r="D84" s="786"/>
      <c r="E84" s="786"/>
      <c r="F84" s="786"/>
      <c r="G84" s="786"/>
      <c r="H84" s="786"/>
      <c r="I84" s="786"/>
      <c r="J84" s="786"/>
      <c r="K84" s="786"/>
      <c r="L84" s="786"/>
      <c r="M84" s="786"/>
      <c r="N84" s="786"/>
      <c r="O84" s="786"/>
      <c r="P84" s="786"/>
      <c r="Q84" s="786"/>
      <c r="R84" s="786"/>
      <c r="S84" s="786"/>
      <c r="T84" s="786"/>
      <c r="U84" s="786"/>
      <c r="V84" s="786"/>
      <c r="W84" s="786"/>
      <c r="X84" s="786"/>
      <c r="Y84" s="786"/>
      <c r="Z84" s="786"/>
      <c r="AA84" s="786"/>
      <c r="AB84" s="786"/>
      <c r="AC84" s="2146"/>
      <c r="AD84" s="786"/>
      <c r="AE84" s="786"/>
      <c r="AF84" s="786"/>
      <c r="AG84" s="786"/>
      <c r="AH84" s="786"/>
      <c r="AI84" s="786"/>
      <c r="AJ84" s="786"/>
      <c r="AK84" s="786"/>
      <c r="AL84" s="786"/>
      <c r="AM84" s="786"/>
    </row>
    <row r="85" spans="1:39">
      <c r="A85" s="786"/>
      <c r="B85" s="786"/>
      <c r="C85" s="786"/>
      <c r="D85" s="786"/>
      <c r="E85" s="786"/>
      <c r="F85" s="786"/>
      <c r="G85" s="786"/>
      <c r="H85" s="786"/>
      <c r="I85" s="786"/>
      <c r="J85" s="786"/>
      <c r="K85" s="786"/>
      <c r="L85" s="786"/>
      <c r="M85" s="786"/>
      <c r="N85" s="786"/>
      <c r="O85" s="786"/>
      <c r="P85" s="786"/>
      <c r="Q85" s="786"/>
      <c r="R85" s="786"/>
      <c r="S85" s="786"/>
      <c r="T85" s="786"/>
      <c r="U85" s="786"/>
      <c r="V85" s="786"/>
      <c r="W85" s="786"/>
      <c r="X85" s="786"/>
      <c r="Y85" s="786"/>
      <c r="Z85" s="786"/>
      <c r="AA85" s="786"/>
      <c r="AB85" s="786"/>
      <c r="AC85" s="2146"/>
      <c r="AD85" s="786"/>
      <c r="AE85" s="786"/>
      <c r="AF85" s="786"/>
      <c r="AG85" s="786"/>
      <c r="AH85" s="786"/>
      <c r="AI85" s="786"/>
      <c r="AJ85" s="786"/>
      <c r="AK85" s="786"/>
      <c r="AL85" s="786"/>
      <c r="AM85" s="786"/>
    </row>
    <row r="86" spans="1:39">
      <c r="A86" s="786"/>
      <c r="B86" s="786"/>
      <c r="C86" s="786"/>
      <c r="D86" s="786"/>
      <c r="E86" s="786"/>
      <c r="F86" s="786"/>
      <c r="G86" s="786"/>
      <c r="H86" s="786"/>
      <c r="I86" s="786"/>
      <c r="J86" s="786"/>
      <c r="K86" s="786"/>
      <c r="L86" s="786"/>
      <c r="M86" s="786"/>
      <c r="N86" s="786"/>
      <c r="O86" s="786"/>
      <c r="P86" s="786"/>
      <c r="Q86" s="786"/>
      <c r="R86" s="786"/>
      <c r="S86" s="786"/>
      <c r="T86" s="786"/>
      <c r="U86" s="786"/>
      <c r="V86" s="786"/>
      <c r="W86" s="786"/>
      <c r="X86" s="786"/>
      <c r="Y86" s="786"/>
      <c r="Z86" s="786"/>
      <c r="AA86" s="786"/>
      <c r="AB86" s="786"/>
      <c r="AC86" s="2146"/>
      <c r="AD86" s="786"/>
      <c r="AE86" s="786"/>
      <c r="AF86" s="786"/>
      <c r="AG86" s="786"/>
      <c r="AH86" s="786"/>
      <c r="AI86" s="786"/>
      <c r="AJ86" s="786"/>
      <c r="AK86" s="786"/>
      <c r="AL86" s="786"/>
      <c r="AM86" s="786"/>
    </row>
    <row r="87" spans="1:39">
      <c r="A87" s="786"/>
      <c r="B87" s="786"/>
      <c r="C87" s="786"/>
      <c r="D87" s="786"/>
      <c r="E87" s="786"/>
      <c r="F87" s="786"/>
      <c r="G87" s="786"/>
      <c r="H87" s="786"/>
      <c r="I87" s="786"/>
      <c r="J87" s="786"/>
      <c r="K87" s="786"/>
      <c r="L87" s="786"/>
      <c r="M87" s="786"/>
      <c r="N87" s="786"/>
      <c r="O87" s="786"/>
      <c r="P87" s="786"/>
      <c r="Q87" s="786"/>
      <c r="R87" s="786"/>
      <c r="S87" s="786"/>
      <c r="T87" s="786"/>
      <c r="U87" s="786"/>
      <c r="V87" s="786"/>
      <c r="W87" s="786"/>
      <c r="X87" s="786"/>
      <c r="Y87" s="786"/>
      <c r="Z87" s="786"/>
      <c r="AA87" s="786"/>
      <c r="AB87" s="786"/>
      <c r="AC87" s="2146"/>
      <c r="AD87" s="786"/>
      <c r="AE87" s="786"/>
      <c r="AF87" s="786"/>
      <c r="AG87" s="786"/>
      <c r="AH87" s="786"/>
      <c r="AI87" s="786"/>
      <c r="AJ87" s="786"/>
      <c r="AK87" s="786"/>
      <c r="AL87" s="786"/>
      <c r="AM87" s="786"/>
    </row>
    <row r="88" spans="1:39">
      <c r="A88" s="786"/>
      <c r="B88" s="786"/>
      <c r="C88" s="786"/>
      <c r="D88" s="786"/>
      <c r="E88" s="786"/>
      <c r="F88" s="786"/>
      <c r="G88" s="786"/>
      <c r="H88" s="786"/>
      <c r="I88" s="786"/>
      <c r="J88" s="786"/>
      <c r="K88" s="786"/>
      <c r="L88" s="786"/>
      <c r="M88" s="786"/>
      <c r="N88" s="786"/>
      <c r="O88" s="786"/>
      <c r="P88" s="786"/>
      <c r="Q88" s="786"/>
      <c r="R88" s="786"/>
      <c r="S88" s="786"/>
      <c r="T88" s="786"/>
      <c r="U88" s="786"/>
      <c r="V88" s="786"/>
      <c r="W88" s="786"/>
      <c r="X88" s="786"/>
      <c r="Y88" s="786"/>
      <c r="Z88" s="786"/>
      <c r="AA88" s="786"/>
      <c r="AB88" s="786"/>
      <c r="AC88" s="2146"/>
      <c r="AD88" s="786"/>
      <c r="AE88" s="786"/>
      <c r="AF88" s="786"/>
      <c r="AG88" s="786"/>
      <c r="AH88" s="786"/>
      <c r="AI88" s="786"/>
      <c r="AJ88" s="786"/>
      <c r="AK88" s="786"/>
      <c r="AL88" s="786"/>
      <c r="AM88" s="786"/>
    </row>
    <row r="89" spans="1:39">
      <c r="A89" s="786"/>
      <c r="B89" s="786"/>
      <c r="C89" s="786"/>
      <c r="D89" s="786"/>
      <c r="E89" s="786"/>
      <c r="F89" s="786"/>
      <c r="G89" s="786"/>
      <c r="H89" s="786"/>
      <c r="I89" s="786"/>
      <c r="J89" s="786"/>
      <c r="K89" s="786"/>
      <c r="L89" s="786"/>
      <c r="M89" s="786"/>
      <c r="N89" s="786"/>
      <c r="O89" s="786"/>
      <c r="P89" s="786"/>
      <c r="Q89" s="786"/>
      <c r="R89" s="786"/>
      <c r="S89" s="786"/>
      <c r="T89" s="786"/>
      <c r="U89" s="786"/>
      <c r="V89" s="786"/>
      <c r="W89" s="786"/>
      <c r="X89" s="786"/>
      <c r="Y89" s="786"/>
      <c r="Z89" s="786"/>
      <c r="AA89" s="786"/>
      <c r="AB89" s="786"/>
      <c r="AC89" s="2146"/>
      <c r="AD89" s="786"/>
      <c r="AE89" s="786"/>
      <c r="AF89" s="786"/>
      <c r="AG89" s="786"/>
      <c r="AH89" s="786"/>
      <c r="AI89" s="786"/>
      <c r="AJ89" s="786"/>
      <c r="AK89" s="786"/>
      <c r="AL89" s="786"/>
      <c r="AM89" s="786"/>
    </row>
    <row r="90" spans="1:39">
      <c r="A90" s="786"/>
      <c r="B90" s="786"/>
      <c r="C90" s="786"/>
      <c r="D90" s="786"/>
      <c r="E90" s="786"/>
      <c r="F90" s="786"/>
      <c r="G90" s="786"/>
      <c r="H90" s="786"/>
      <c r="I90" s="786"/>
      <c r="J90" s="786"/>
      <c r="K90" s="786"/>
      <c r="L90" s="786"/>
      <c r="M90" s="786"/>
      <c r="N90" s="786"/>
      <c r="O90" s="786"/>
      <c r="P90" s="786"/>
      <c r="Q90" s="786"/>
      <c r="R90" s="786"/>
      <c r="S90" s="786"/>
      <c r="T90" s="786"/>
      <c r="U90" s="786"/>
      <c r="V90" s="786"/>
      <c r="W90" s="786"/>
      <c r="X90" s="786"/>
      <c r="Y90" s="786"/>
      <c r="Z90" s="786"/>
      <c r="AA90" s="786"/>
      <c r="AB90" s="786"/>
      <c r="AC90" s="2146"/>
      <c r="AD90" s="786"/>
      <c r="AE90" s="786"/>
      <c r="AF90" s="786"/>
      <c r="AG90" s="786"/>
      <c r="AH90" s="786"/>
      <c r="AI90" s="786"/>
      <c r="AJ90" s="786"/>
      <c r="AK90" s="786"/>
      <c r="AL90" s="786"/>
      <c r="AM90" s="786"/>
    </row>
    <row r="91" spans="1:39">
      <c r="A91" s="786"/>
      <c r="B91" s="786"/>
      <c r="C91" s="786"/>
      <c r="D91" s="786"/>
      <c r="E91" s="786"/>
      <c r="F91" s="786"/>
      <c r="G91" s="786"/>
      <c r="H91" s="786"/>
      <c r="I91" s="786"/>
      <c r="J91" s="786"/>
      <c r="K91" s="786"/>
      <c r="L91" s="786"/>
      <c r="M91" s="786"/>
      <c r="N91" s="786"/>
      <c r="O91" s="786"/>
      <c r="P91" s="786"/>
      <c r="Q91" s="786"/>
      <c r="R91" s="786"/>
      <c r="S91" s="786"/>
      <c r="T91" s="786"/>
      <c r="U91" s="786"/>
      <c r="V91" s="786"/>
      <c r="W91" s="786"/>
      <c r="X91" s="786"/>
      <c r="Y91" s="786"/>
      <c r="Z91" s="786"/>
      <c r="AA91" s="786"/>
      <c r="AB91" s="786"/>
      <c r="AC91" s="2146"/>
      <c r="AD91" s="786"/>
      <c r="AE91" s="786"/>
      <c r="AF91" s="786"/>
      <c r="AG91" s="786"/>
      <c r="AH91" s="786"/>
      <c r="AI91" s="786"/>
      <c r="AJ91" s="786"/>
      <c r="AK91" s="786"/>
      <c r="AL91" s="786"/>
      <c r="AM91" s="786"/>
    </row>
    <row r="92" spans="1:39">
      <c r="A92" s="786"/>
      <c r="B92" s="786"/>
      <c r="C92" s="786"/>
      <c r="D92" s="786"/>
      <c r="E92" s="786"/>
      <c r="F92" s="786"/>
      <c r="G92" s="786"/>
      <c r="H92" s="786"/>
      <c r="I92" s="786"/>
      <c r="J92" s="786"/>
      <c r="K92" s="786"/>
      <c r="L92" s="786"/>
      <c r="M92" s="786"/>
      <c r="N92" s="786"/>
      <c r="O92" s="786"/>
      <c r="P92" s="786"/>
      <c r="Q92" s="786"/>
      <c r="R92" s="786"/>
      <c r="S92" s="786"/>
      <c r="T92" s="786"/>
      <c r="U92" s="786"/>
      <c r="V92" s="786"/>
      <c r="W92" s="786"/>
      <c r="X92" s="786"/>
      <c r="Y92" s="786"/>
      <c r="Z92" s="786"/>
      <c r="AA92" s="786"/>
      <c r="AB92" s="786"/>
      <c r="AC92" s="2146"/>
      <c r="AD92" s="786"/>
      <c r="AE92" s="786"/>
      <c r="AF92" s="786"/>
      <c r="AG92" s="786"/>
      <c r="AH92" s="786"/>
      <c r="AI92" s="786"/>
      <c r="AJ92" s="786"/>
      <c r="AK92" s="786"/>
      <c r="AL92" s="786"/>
      <c r="AM92" s="786"/>
    </row>
    <row r="93" spans="1:39">
      <c r="A93" s="786"/>
      <c r="B93" s="786"/>
      <c r="C93" s="786"/>
      <c r="D93" s="786"/>
      <c r="E93" s="786"/>
      <c r="F93" s="786"/>
      <c r="G93" s="786"/>
      <c r="H93" s="786"/>
      <c r="I93" s="786"/>
      <c r="J93" s="786"/>
      <c r="K93" s="786"/>
      <c r="L93" s="786"/>
      <c r="M93" s="786"/>
      <c r="N93" s="786"/>
      <c r="O93" s="786"/>
      <c r="P93" s="786"/>
      <c r="Q93" s="786"/>
      <c r="R93" s="786"/>
      <c r="S93" s="786"/>
      <c r="T93" s="786"/>
      <c r="U93" s="786"/>
      <c r="V93" s="786"/>
      <c r="W93" s="786"/>
      <c r="X93" s="786"/>
      <c r="Y93" s="786"/>
      <c r="Z93" s="786"/>
      <c r="AA93" s="786"/>
      <c r="AB93" s="786"/>
      <c r="AC93" s="2146"/>
      <c r="AD93" s="786"/>
      <c r="AE93" s="786"/>
      <c r="AF93" s="786"/>
      <c r="AG93" s="786"/>
      <c r="AH93" s="786"/>
      <c r="AI93" s="786"/>
      <c r="AJ93" s="786"/>
      <c r="AK93" s="786"/>
      <c r="AL93" s="786"/>
      <c r="AM93" s="786"/>
    </row>
    <row r="94" spans="1:39">
      <c r="A94" s="786"/>
      <c r="B94" s="786"/>
      <c r="C94" s="786"/>
      <c r="D94" s="786"/>
      <c r="E94" s="786"/>
      <c r="F94" s="786"/>
      <c r="G94" s="786"/>
      <c r="H94" s="786"/>
      <c r="I94" s="786"/>
      <c r="J94" s="786"/>
      <c r="K94" s="786"/>
      <c r="L94" s="786"/>
      <c r="M94" s="786"/>
      <c r="N94" s="786"/>
      <c r="O94" s="786"/>
      <c r="P94" s="786"/>
      <c r="Q94" s="786"/>
      <c r="R94" s="786"/>
      <c r="S94" s="786"/>
      <c r="T94" s="786"/>
      <c r="U94" s="786"/>
      <c r="V94" s="786"/>
      <c r="W94" s="786"/>
      <c r="X94" s="786"/>
      <c r="Y94" s="786"/>
      <c r="Z94" s="786"/>
      <c r="AA94" s="786"/>
      <c r="AB94" s="786"/>
      <c r="AC94" s="2146"/>
      <c r="AD94" s="786"/>
      <c r="AE94" s="786"/>
      <c r="AF94" s="786"/>
      <c r="AG94" s="786"/>
      <c r="AH94" s="786"/>
      <c r="AI94" s="786"/>
      <c r="AJ94" s="786"/>
      <c r="AK94" s="786"/>
      <c r="AL94" s="786"/>
      <c r="AM94" s="786"/>
    </row>
    <row r="95" spans="1:39">
      <c r="A95" s="786"/>
      <c r="B95" s="786"/>
      <c r="C95" s="786"/>
      <c r="D95" s="786"/>
      <c r="E95" s="786"/>
      <c r="F95" s="786"/>
      <c r="G95" s="786"/>
      <c r="H95" s="786"/>
      <c r="I95" s="786"/>
      <c r="J95" s="786"/>
      <c r="K95" s="786"/>
      <c r="L95" s="786"/>
      <c r="M95" s="786"/>
      <c r="N95" s="786"/>
      <c r="O95" s="786"/>
      <c r="P95" s="786"/>
      <c r="Q95" s="786"/>
      <c r="R95" s="786"/>
      <c r="S95" s="786"/>
      <c r="T95" s="786"/>
      <c r="U95" s="786"/>
      <c r="V95" s="786"/>
      <c r="W95" s="786"/>
      <c r="X95" s="786"/>
      <c r="Y95" s="786"/>
      <c r="Z95" s="786"/>
      <c r="AA95" s="786"/>
      <c r="AB95" s="786"/>
      <c r="AC95" s="2146"/>
      <c r="AD95" s="786"/>
      <c r="AE95" s="786"/>
      <c r="AF95" s="786"/>
      <c r="AG95" s="786"/>
      <c r="AH95" s="786"/>
      <c r="AI95" s="786"/>
      <c r="AJ95" s="786"/>
      <c r="AK95" s="786"/>
      <c r="AL95" s="786"/>
      <c r="AM95" s="786"/>
    </row>
    <row r="96" spans="1:39">
      <c r="A96" s="786"/>
      <c r="B96" s="786"/>
      <c r="C96" s="786"/>
      <c r="D96" s="786"/>
      <c r="E96" s="786"/>
      <c r="F96" s="786"/>
      <c r="G96" s="786"/>
      <c r="H96" s="786"/>
      <c r="I96" s="786"/>
      <c r="J96" s="786"/>
      <c r="K96" s="786"/>
      <c r="L96" s="786"/>
      <c r="M96" s="786"/>
      <c r="N96" s="786"/>
      <c r="O96" s="786"/>
      <c r="P96" s="786"/>
      <c r="Q96" s="786"/>
      <c r="R96" s="786"/>
      <c r="S96" s="786"/>
      <c r="T96" s="786"/>
      <c r="U96" s="786"/>
      <c r="V96" s="786"/>
      <c r="W96" s="786"/>
      <c r="X96" s="786"/>
      <c r="Y96" s="786"/>
      <c r="Z96" s="786"/>
      <c r="AA96" s="786"/>
      <c r="AB96" s="786"/>
      <c r="AC96" s="2146"/>
      <c r="AD96" s="786"/>
      <c r="AE96" s="786"/>
      <c r="AF96" s="786"/>
      <c r="AG96" s="786"/>
      <c r="AH96" s="786"/>
      <c r="AI96" s="786"/>
      <c r="AJ96" s="786"/>
      <c r="AK96" s="786"/>
      <c r="AL96" s="786"/>
      <c r="AM96" s="786"/>
    </row>
    <row r="97" spans="1:39">
      <c r="A97" s="786"/>
      <c r="B97" s="786"/>
      <c r="C97" s="786"/>
      <c r="D97" s="786"/>
      <c r="E97" s="786"/>
      <c r="F97" s="786"/>
      <c r="G97" s="786"/>
      <c r="H97" s="786"/>
      <c r="I97" s="786"/>
      <c r="J97" s="786"/>
      <c r="K97" s="786"/>
      <c r="L97" s="786"/>
      <c r="M97" s="786"/>
      <c r="N97" s="786"/>
      <c r="O97" s="786"/>
      <c r="P97" s="786"/>
      <c r="Q97" s="786"/>
      <c r="R97" s="786"/>
      <c r="S97" s="786"/>
      <c r="T97" s="786"/>
      <c r="U97" s="786"/>
      <c r="V97" s="786"/>
      <c r="W97" s="786"/>
      <c r="X97" s="786"/>
      <c r="Y97" s="786"/>
      <c r="Z97" s="786"/>
      <c r="AA97" s="786"/>
      <c r="AB97" s="786"/>
      <c r="AC97" s="2146"/>
      <c r="AD97" s="786"/>
      <c r="AE97" s="786"/>
      <c r="AF97" s="786"/>
      <c r="AG97" s="786"/>
      <c r="AH97" s="786"/>
      <c r="AI97" s="786"/>
      <c r="AJ97" s="786"/>
      <c r="AK97" s="786"/>
      <c r="AL97" s="786"/>
      <c r="AM97" s="786"/>
    </row>
    <row r="98" spans="1:39">
      <c r="A98" s="786"/>
      <c r="B98" s="786"/>
      <c r="C98" s="786"/>
      <c r="D98" s="786"/>
      <c r="E98" s="786"/>
      <c r="F98" s="786"/>
      <c r="G98" s="786"/>
      <c r="H98" s="786"/>
      <c r="I98" s="786"/>
      <c r="J98" s="786"/>
      <c r="K98" s="786"/>
      <c r="L98" s="786"/>
      <c r="M98" s="786"/>
      <c r="N98" s="786"/>
      <c r="O98" s="786"/>
      <c r="P98" s="786"/>
      <c r="Q98" s="786"/>
      <c r="R98" s="786"/>
      <c r="S98" s="786"/>
      <c r="T98" s="786"/>
      <c r="U98" s="786"/>
      <c r="V98" s="786"/>
      <c r="W98" s="786"/>
      <c r="X98" s="786"/>
      <c r="Y98" s="786"/>
      <c r="Z98" s="786"/>
      <c r="AA98" s="786"/>
      <c r="AB98" s="786"/>
      <c r="AC98" s="2146"/>
      <c r="AD98" s="786"/>
      <c r="AE98" s="786"/>
      <c r="AF98" s="786"/>
      <c r="AG98" s="786"/>
      <c r="AH98" s="786"/>
      <c r="AI98" s="786"/>
      <c r="AJ98" s="786"/>
      <c r="AK98" s="786"/>
      <c r="AL98" s="786"/>
      <c r="AM98" s="786"/>
    </row>
    <row r="99" spans="1:39">
      <c r="A99" s="786"/>
      <c r="B99" s="786"/>
      <c r="C99" s="786"/>
      <c r="D99" s="786"/>
      <c r="E99" s="786"/>
      <c r="F99" s="786"/>
      <c r="G99" s="786"/>
      <c r="H99" s="786"/>
      <c r="I99" s="786"/>
      <c r="J99" s="786"/>
      <c r="K99" s="786"/>
      <c r="L99" s="786"/>
      <c r="M99" s="786"/>
      <c r="N99" s="786"/>
      <c r="O99" s="786"/>
      <c r="P99" s="786"/>
      <c r="Q99" s="786"/>
      <c r="R99" s="786"/>
      <c r="S99" s="786"/>
      <c r="T99" s="786"/>
      <c r="U99" s="786"/>
      <c r="V99" s="786"/>
      <c r="W99" s="786"/>
      <c r="X99" s="786"/>
      <c r="Y99" s="786"/>
      <c r="Z99" s="786"/>
      <c r="AA99" s="786"/>
      <c r="AB99" s="786"/>
      <c r="AC99" s="2146"/>
      <c r="AD99" s="786"/>
      <c r="AE99" s="786"/>
      <c r="AF99" s="786"/>
      <c r="AG99" s="786"/>
      <c r="AH99" s="786"/>
      <c r="AI99" s="786"/>
      <c r="AJ99" s="786"/>
      <c r="AK99" s="786"/>
      <c r="AL99" s="786"/>
      <c r="AM99" s="786"/>
    </row>
    <row r="100" spans="1:39">
      <c r="A100" s="786"/>
      <c r="B100" s="786"/>
      <c r="C100" s="786"/>
      <c r="D100" s="786"/>
      <c r="E100" s="786"/>
      <c r="F100" s="786"/>
      <c r="G100" s="786"/>
      <c r="H100" s="786"/>
      <c r="I100" s="786"/>
      <c r="J100" s="786"/>
      <c r="K100" s="786"/>
      <c r="L100" s="786"/>
      <c r="M100" s="786"/>
      <c r="N100" s="786"/>
      <c r="O100" s="786"/>
      <c r="P100" s="786"/>
      <c r="Q100" s="786"/>
      <c r="R100" s="786"/>
      <c r="S100" s="786"/>
      <c r="T100" s="786"/>
      <c r="U100" s="786"/>
      <c r="V100" s="786"/>
      <c r="W100" s="786"/>
      <c r="X100" s="786"/>
      <c r="Y100" s="786"/>
      <c r="Z100" s="786"/>
      <c r="AA100" s="786"/>
      <c r="AB100" s="786"/>
      <c r="AC100" s="2146"/>
      <c r="AD100" s="786"/>
      <c r="AE100" s="786"/>
      <c r="AF100" s="786"/>
      <c r="AG100" s="786"/>
      <c r="AH100" s="786"/>
      <c r="AI100" s="786"/>
      <c r="AJ100" s="786"/>
      <c r="AK100" s="786"/>
      <c r="AL100" s="786"/>
      <c r="AM100" s="786"/>
    </row>
    <row r="101" spans="1:39">
      <c r="A101" s="786"/>
      <c r="B101" s="786"/>
      <c r="C101" s="786"/>
      <c r="D101" s="786"/>
      <c r="E101" s="786"/>
      <c r="F101" s="786"/>
      <c r="G101" s="786"/>
      <c r="H101" s="786"/>
      <c r="I101" s="786"/>
      <c r="J101" s="786"/>
      <c r="K101" s="786"/>
      <c r="L101" s="786"/>
      <c r="M101" s="786"/>
      <c r="N101" s="786"/>
      <c r="O101" s="786"/>
      <c r="P101" s="786"/>
      <c r="Q101" s="786"/>
      <c r="R101" s="786"/>
      <c r="S101" s="786"/>
      <c r="T101" s="786"/>
      <c r="U101" s="786"/>
      <c r="V101" s="786"/>
      <c r="W101" s="786"/>
      <c r="X101" s="786"/>
      <c r="Y101" s="786"/>
      <c r="Z101" s="786"/>
      <c r="AA101" s="786"/>
      <c r="AB101" s="786"/>
      <c r="AC101" s="2146"/>
      <c r="AD101" s="786"/>
      <c r="AE101" s="786"/>
      <c r="AF101" s="786"/>
      <c r="AG101" s="786"/>
      <c r="AH101" s="786"/>
      <c r="AI101" s="786"/>
      <c r="AJ101" s="786"/>
      <c r="AK101" s="786"/>
      <c r="AL101" s="786"/>
      <c r="AM101" s="786"/>
    </row>
    <row r="102" spans="1:39">
      <c r="A102" s="786"/>
      <c r="B102" s="786"/>
      <c r="C102" s="786"/>
      <c r="D102" s="786"/>
      <c r="E102" s="786"/>
      <c r="F102" s="786"/>
      <c r="G102" s="786"/>
      <c r="H102" s="786"/>
      <c r="I102" s="786"/>
      <c r="J102" s="786"/>
      <c r="K102" s="786"/>
      <c r="L102" s="786"/>
      <c r="M102" s="786"/>
      <c r="N102" s="786"/>
      <c r="O102" s="786"/>
      <c r="P102" s="786"/>
      <c r="Q102" s="786"/>
      <c r="R102" s="786"/>
      <c r="S102" s="786"/>
      <c r="T102" s="786"/>
      <c r="U102" s="786"/>
      <c r="V102" s="786"/>
      <c r="W102" s="786"/>
      <c r="X102" s="786"/>
      <c r="Y102" s="786"/>
      <c r="Z102" s="786"/>
      <c r="AA102" s="786"/>
      <c r="AB102" s="786"/>
      <c r="AC102" s="2146"/>
      <c r="AD102" s="786"/>
      <c r="AE102" s="786"/>
      <c r="AF102" s="786"/>
      <c r="AG102" s="786"/>
      <c r="AH102" s="786"/>
      <c r="AI102" s="786"/>
      <c r="AJ102" s="786"/>
      <c r="AK102" s="786"/>
      <c r="AL102" s="786"/>
      <c r="AM102" s="786"/>
    </row>
    <row r="103" spans="1:39">
      <c r="A103" s="786"/>
      <c r="B103" s="786"/>
      <c r="C103" s="786"/>
      <c r="D103" s="786"/>
      <c r="E103" s="786"/>
      <c r="F103" s="786"/>
      <c r="G103" s="786"/>
      <c r="H103" s="786"/>
      <c r="I103" s="786"/>
      <c r="J103" s="786"/>
      <c r="K103" s="786"/>
      <c r="L103" s="786"/>
      <c r="M103" s="786"/>
      <c r="N103" s="786"/>
      <c r="O103" s="786"/>
      <c r="P103" s="786"/>
      <c r="Q103" s="786"/>
      <c r="R103" s="786"/>
      <c r="S103" s="786"/>
      <c r="T103" s="786"/>
      <c r="U103" s="786"/>
      <c r="V103" s="786"/>
      <c r="W103" s="786"/>
      <c r="X103" s="786"/>
      <c r="Y103" s="786"/>
      <c r="Z103" s="786"/>
      <c r="AA103" s="786"/>
      <c r="AB103" s="786"/>
      <c r="AC103" s="2146"/>
      <c r="AD103" s="786"/>
      <c r="AE103" s="786"/>
      <c r="AF103" s="786"/>
      <c r="AG103" s="786"/>
      <c r="AH103" s="786"/>
      <c r="AI103" s="786"/>
      <c r="AJ103" s="786"/>
      <c r="AK103" s="786"/>
      <c r="AL103" s="786"/>
      <c r="AM103" s="786"/>
    </row>
    <row r="104" spans="1:39">
      <c r="A104" s="786"/>
      <c r="B104" s="786"/>
      <c r="C104" s="786"/>
      <c r="D104" s="786"/>
      <c r="E104" s="786"/>
      <c r="F104" s="786"/>
      <c r="G104" s="786"/>
      <c r="H104" s="786"/>
      <c r="I104" s="786"/>
      <c r="J104" s="786"/>
      <c r="K104" s="786"/>
      <c r="L104" s="786"/>
      <c r="M104" s="786"/>
      <c r="N104" s="786"/>
      <c r="O104" s="786"/>
      <c r="P104" s="786"/>
      <c r="Q104" s="786"/>
      <c r="R104" s="786"/>
      <c r="S104" s="786"/>
      <c r="T104" s="786"/>
      <c r="U104" s="786"/>
      <c r="V104" s="786"/>
      <c r="W104" s="786"/>
      <c r="X104" s="786"/>
      <c r="Y104" s="786"/>
      <c r="Z104" s="786"/>
      <c r="AA104" s="786"/>
      <c r="AB104" s="786"/>
      <c r="AC104" s="2146"/>
      <c r="AD104" s="786"/>
      <c r="AE104" s="786"/>
      <c r="AF104" s="786"/>
      <c r="AG104" s="786"/>
      <c r="AH104" s="786"/>
      <c r="AI104" s="786"/>
      <c r="AJ104" s="786"/>
      <c r="AK104" s="786"/>
      <c r="AL104" s="786"/>
      <c r="AM104" s="786"/>
    </row>
    <row r="105" spans="1:39">
      <c r="A105" s="786"/>
      <c r="B105" s="786"/>
      <c r="C105" s="786"/>
      <c r="D105" s="786"/>
      <c r="E105" s="786"/>
      <c r="F105" s="786"/>
      <c r="G105" s="786"/>
      <c r="H105" s="786"/>
      <c r="I105" s="786"/>
      <c r="J105" s="786"/>
      <c r="K105" s="786"/>
      <c r="L105" s="786"/>
      <c r="M105" s="786"/>
      <c r="N105" s="786"/>
      <c r="O105" s="786"/>
      <c r="P105" s="786"/>
      <c r="Q105" s="786"/>
      <c r="R105" s="786"/>
      <c r="S105" s="786"/>
      <c r="T105" s="786"/>
      <c r="U105" s="786"/>
      <c r="V105" s="786"/>
      <c r="W105" s="786"/>
      <c r="X105" s="786"/>
      <c r="Y105" s="786"/>
      <c r="Z105" s="786"/>
      <c r="AA105" s="786"/>
      <c r="AB105" s="786"/>
      <c r="AC105" s="2146"/>
      <c r="AD105" s="786"/>
      <c r="AE105" s="786"/>
      <c r="AF105" s="786"/>
      <c r="AG105" s="786"/>
      <c r="AH105" s="786"/>
      <c r="AI105" s="786"/>
      <c r="AJ105" s="786"/>
      <c r="AK105" s="786"/>
      <c r="AL105" s="786"/>
      <c r="AM105" s="786"/>
    </row>
    <row r="106" spans="1:39">
      <c r="A106" s="786"/>
      <c r="B106" s="786"/>
      <c r="C106" s="786"/>
      <c r="D106" s="786"/>
      <c r="E106" s="786"/>
      <c r="F106" s="786"/>
      <c r="G106" s="786"/>
      <c r="H106" s="786"/>
      <c r="I106" s="786"/>
      <c r="J106" s="786"/>
      <c r="K106" s="786"/>
      <c r="L106" s="786"/>
      <c r="M106" s="786"/>
      <c r="N106" s="786"/>
      <c r="O106" s="786"/>
      <c r="P106" s="786"/>
      <c r="Q106" s="786"/>
      <c r="R106" s="786"/>
      <c r="S106" s="786"/>
      <c r="T106" s="786"/>
      <c r="U106" s="786"/>
      <c r="V106" s="786"/>
      <c r="W106" s="786"/>
      <c r="X106" s="786"/>
      <c r="Y106" s="786"/>
      <c r="Z106" s="786"/>
      <c r="AA106" s="786"/>
      <c r="AB106" s="786"/>
      <c r="AC106" s="2146"/>
      <c r="AD106" s="786"/>
      <c r="AE106" s="786"/>
      <c r="AF106" s="786"/>
      <c r="AG106" s="786"/>
      <c r="AH106" s="786"/>
      <c r="AI106" s="786"/>
      <c r="AJ106" s="786"/>
      <c r="AK106" s="786"/>
      <c r="AL106" s="786"/>
      <c r="AM106" s="786"/>
    </row>
    <row r="107" spans="1:39">
      <c r="A107" s="786"/>
      <c r="B107" s="786"/>
      <c r="C107" s="786"/>
      <c r="D107" s="786"/>
      <c r="E107" s="786"/>
      <c r="F107" s="786"/>
      <c r="G107" s="786"/>
      <c r="H107" s="786"/>
      <c r="I107" s="786"/>
      <c r="J107" s="786"/>
      <c r="K107" s="786"/>
      <c r="L107" s="786"/>
      <c r="M107" s="786"/>
      <c r="N107" s="786"/>
      <c r="O107" s="786"/>
      <c r="P107" s="786"/>
      <c r="Q107" s="786"/>
      <c r="R107" s="786"/>
      <c r="S107" s="786"/>
      <c r="T107" s="786"/>
      <c r="U107" s="786"/>
      <c r="V107" s="786"/>
      <c r="W107" s="786"/>
      <c r="X107" s="786"/>
      <c r="Y107" s="786"/>
      <c r="Z107" s="786"/>
      <c r="AA107" s="786"/>
      <c r="AB107" s="786"/>
      <c r="AC107" s="2146"/>
      <c r="AD107" s="786"/>
      <c r="AE107" s="786"/>
      <c r="AF107" s="786"/>
      <c r="AG107" s="786"/>
      <c r="AH107" s="786"/>
      <c r="AI107" s="786"/>
      <c r="AJ107" s="786"/>
      <c r="AK107" s="786"/>
      <c r="AL107" s="786"/>
      <c r="AM107" s="786"/>
    </row>
    <row r="108" spans="1:39">
      <c r="A108" s="786"/>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2146"/>
      <c r="AD108" s="786"/>
      <c r="AE108" s="786"/>
      <c r="AF108" s="786"/>
      <c r="AG108" s="786"/>
      <c r="AH108" s="786"/>
      <c r="AI108" s="786"/>
      <c r="AJ108" s="786"/>
      <c r="AK108" s="786"/>
      <c r="AL108" s="786"/>
      <c r="AM108" s="786"/>
    </row>
    <row r="109" spans="1:39">
      <c r="A109" s="786"/>
      <c r="B109" s="786"/>
      <c r="C109" s="786"/>
      <c r="D109" s="786"/>
      <c r="E109" s="786"/>
      <c r="F109" s="786"/>
      <c r="G109" s="786"/>
      <c r="H109" s="786"/>
      <c r="I109" s="786"/>
      <c r="J109" s="786"/>
      <c r="K109" s="786"/>
      <c r="L109" s="786"/>
      <c r="M109" s="786"/>
      <c r="N109" s="786"/>
      <c r="O109" s="786"/>
      <c r="P109" s="786"/>
      <c r="Q109" s="786"/>
      <c r="R109" s="786"/>
      <c r="S109" s="786"/>
      <c r="T109" s="786"/>
      <c r="U109" s="786"/>
      <c r="V109" s="786"/>
      <c r="W109" s="786"/>
      <c r="X109" s="786"/>
      <c r="Y109" s="786"/>
      <c r="Z109" s="786"/>
      <c r="AA109" s="786"/>
      <c r="AB109" s="786"/>
      <c r="AC109" s="2146"/>
      <c r="AD109" s="786"/>
      <c r="AE109" s="786"/>
      <c r="AF109" s="786"/>
      <c r="AG109" s="786"/>
      <c r="AH109" s="786"/>
      <c r="AI109" s="786"/>
      <c r="AJ109" s="786"/>
      <c r="AK109" s="786"/>
      <c r="AL109" s="786"/>
      <c r="AM109" s="786"/>
    </row>
    <row r="110" spans="1:39">
      <c r="A110" s="786"/>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6"/>
      <c r="AA110" s="786"/>
      <c r="AB110" s="786"/>
      <c r="AC110" s="2146"/>
      <c r="AD110" s="786"/>
      <c r="AE110" s="786"/>
      <c r="AF110" s="786"/>
      <c r="AG110" s="786"/>
      <c r="AH110" s="786"/>
      <c r="AI110" s="786"/>
      <c r="AJ110" s="786"/>
      <c r="AK110" s="786"/>
      <c r="AL110" s="786"/>
      <c r="AM110" s="786"/>
    </row>
    <row r="111" spans="1:39">
      <c r="A111" s="786"/>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786"/>
      <c r="AA111" s="786"/>
      <c r="AB111" s="786"/>
      <c r="AC111" s="2146"/>
      <c r="AD111" s="786"/>
      <c r="AE111" s="786"/>
      <c r="AF111" s="786"/>
      <c r="AG111" s="786"/>
      <c r="AH111" s="786"/>
      <c r="AI111" s="786"/>
      <c r="AJ111" s="786"/>
      <c r="AK111" s="786"/>
      <c r="AL111" s="786"/>
      <c r="AM111" s="786"/>
    </row>
    <row r="112" spans="1:39">
      <c r="A112" s="786"/>
      <c r="B112" s="786"/>
      <c r="C112" s="786"/>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6"/>
      <c r="AA112" s="786"/>
      <c r="AB112" s="786"/>
      <c r="AC112" s="2146"/>
      <c r="AD112" s="786"/>
      <c r="AE112" s="786"/>
      <c r="AF112" s="786"/>
      <c r="AG112" s="786"/>
      <c r="AH112" s="786"/>
      <c r="AI112" s="786"/>
      <c r="AJ112" s="786"/>
      <c r="AK112" s="786"/>
      <c r="AL112" s="786"/>
      <c r="AM112" s="786"/>
    </row>
    <row r="113" spans="1:39">
      <c r="A113" s="786"/>
      <c r="B113" s="786"/>
      <c r="C113" s="786"/>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6"/>
      <c r="AA113" s="786"/>
      <c r="AB113" s="786"/>
      <c r="AC113" s="2146"/>
      <c r="AD113" s="786"/>
      <c r="AE113" s="786"/>
      <c r="AF113" s="786"/>
      <c r="AG113" s="786"/>
      <c r="AH113" s="786"/>
      <c r="AI113" s="786"/>
      <c r="AJ113" s="786"/>
      <c r="AK113" s="786"/>
      <c r="AL113" s="786"/>
      <c r="AM113" s="786"/>
    </row>
    <row r="114" spans="1:39">
      <c r="A114" s="786"/>
      <c r="B114" s="786"/>
      <c r="C114" s="786"/>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6"/>
      <c r="AA114" s="786"/>
      <c r="AB114" s="786"/>
      <c r="AC114" s="2146"/>
      <c r="AD114" s="786"/>
      <c r="AE114" s="786"/>
      <c r="AF114" s="786"/>
      <c r="AG114" s="786"/>
      <c r="AH114" s="786"/>
      <c r="AI114" s="786"/>
      <c r="AJ114" s="786"/>
      <c r="AK114" s="786"/>
      <c r="AL114" s="786"/>
      <c r="AM114" s="786"/>
    </row>
    <row r="115" spans="1:39">
      <c r="A115" s="786"/>
      <c r="B115" s="786"/>
      <c r="C115" s="786"/>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6"/>
      <c r="AA115" s="786"/>
      <c r="AB115" s="786"/>
      <c r="AC115" s="2146"/>
      <c r="AD115" s="786"/>
      <c r="AE115" s="786"/>
      <c r="AF115" s="786"/>
      <c r="AG115" s="786"/>
      <c r="AH115" s="786"/>
      <c r="AI115" s="786"/>
      <c r="AJ115" s="786"/>
      <c r="AK115" s="786"/>
      <c r="AL115" s="786"/>
      <c r="AM115" s="786"/>
    </row>
    <row r="116" spans="1:39">
      <c r="A116" s="786"/>
      <c r="B116" s="786"/>
      <c r="C116" s="786"/>
      <c r="D116" s="786"/>
      <c r="E116" s="786"/>
      <c r="F116" s="786"/>
      <c r="G116" s="786"/>
      <c r="H116" s="786"/>
      <c r="I116" s="786"/>
      <c r="J116" s="786"/>
      <c r="K116" s="786"/>
      <c r="L116" s="786"/>
      <c r="M116" s="786"/>
      <c r="N116" s="786"/>
      <c r="O116" s="786"/>
      <c r="P116" s="786"/>
      <c r="Q116" s="786"/>
      <c r="R116" s="786"/>
      <c r="S116" s="786"/>
      <c r="T116" s="786"/>
      <c r="U116" s="786"/>
      <c r="V116" s="786"/>
      <c r="W116" s="786"/>
      <c r="X116" s="786"/>
      <c r="Y116" s="786"/>
      <c r="Z116" s="786"/>
      <c r="AA116" s="786"/>
      <c r="AB116" s="786"/>
      <c r="AC116" s="2146"/>
      <c r="AD116" s="786"/>
      <c r="AE116" s="786"/>
      <c r="AF116" s="786"/>
      <c r="AG116" s="786"/>
      <c r="AH116" s="786"/>
      <c r="AI116" s="786"/>
      <c r="AJ116" s="786"/>
      <c r="AK116" s="786"/>
      <c r="AL116" s="786"/>
      <c r="AM116" s="786"/>
    </row>
    <row r="117" spans="1:39">
      <c r="A117" s="786"/>
      <c r="B117" s="786"/>
      <c r="C117" s="786"/>
      <c r="D117" s="786"/>
      <c r="E117" s="786"/>
      <c r="F117" s="786"/>
      <c r="G117" s="786"/>
      <c r="H117" s="786"/>
      <c r="I117" s="786"/>
      <c r="J117" s="786"/>
      <c r="K117" s="786"/>
      <c r="L117" s="786"/>
      <c r="M117" s="786"/>
      <c r="N117" s="786"/>
      <c r="O117" s="786"/>
      <c r="P117" s="786"/>
      <c r="Q117" s="786"/>
      <c r="R117" s="786"/>
      <c r="S117" s="786"/>
      <c r="T117" s="786"/>
      <c r="U117" s="786"/>
      <c r="V117" s="786"/>
      <c r="W117" s="786"/>
      <c r="X117" s="786"/>
      <c r="Y117" s="786"/>
      <c r="Z117" s="786"/>
      <c r="AA117" s="786"/>
      <c r="AB117" s="786"/>
      <c r="AC117" s="2146"/>
      <c r="AD117" s="786"/>
      <c r="AE117" s="786"/>
      <c r="AF117" s="786"/>
      <c r="AG117" s="786"/>
      <c r="AH117" s="786"/>
      <c r="AI117" s="786"/>
      <c r="AJ117" s="786"/>
      <c r="AK117" s="786"/>
      <c r="AL117" s="786"/>
      <c r="AM117" s="786"/>
    </row>
    <row r="118" spans="1:39">
      <c r="A118" s="786"/>
      <c r="B118" s="786"/>
      <c r="C118" s="786"/>
      <c r="D118" s="786"/>
      <c r="E118" s="786"/>
      <c r="F118" s="786"/>
      <c r="G118" s="786"/>
      <c r="H118" s="786"/>
      <c r="I118" s="786"/>
      <c r="J118" s="786"/>
      <c r="K118" s="786"/>
      <c r="L118" s="786"/>
      <c r="M118" s="786"/>
      <c r="N118" s="786"/>
      <c r="O118" s="786"/>
      <c r="P118" s="786"/>
      <c r="Q118" s="786"/>
      <c r="R118" s="786"/>
      <c r="S118" s="786"/>
      <c r="T118" s="786"/>
      <c r="U118" s="786"/>
      <c r="V118" s="786"/>
      <c r="W118" s="786"/>
      <c r="X118" s="786"/>
      <c r="Y118" s="786"/>
      <c r="Z118" s="786"/>
      <c r="AA118" s="786"/>
      <c r="AB118" s="786"/>
      <c r="AC118" s="2146"/>
      <c r="AD118" s="786"/>
      <c r="AE118" s="786"/>
      <c r="AF118" s="786"/>
      <c r="AG118" s="786"/>
      <c r="AH118" s="786"/>
      <c r="AI118" s="786"/>
      <c r="AJ118" s="786"/>
      <c r="AK118" s="786"/>
      <c r="AL118" s="786"/>
      <c r="AM118" s="786"/>
    </row>
    <row r="119" spans="1:39">
      <c r="A119" s="786"/>
      <c r="B119" s="786"/>
      <c r="C119" s="786"/>
      <c r="D119" s="786"/>
      <c r="E119" s="786"/>
      <c r="F119" s="786"/>
      <c r="G119" s="786"/>
      <c r="H119" s="786"/>
      <c r="I119" s="786"/>
      <c r="J119" s="786"/>
      <c r="K119" s="786"/>
      <c r="L119" s="786"/>
      <c r="M119" s="786"/>
      <c r="N119" s="786"/>
      <c r="O119" s="786"/>
      <c r="P119" s="786"/>
      <c r="Q119" s="786"/>
      <c r="R119" s="786"/>
      <c r="S119" s="786"/>
      <c r="T119" s="786"/>
      <c r="U119" s="786"/>
      <c r="V119" s="786"/>
      <c r="W119" s="786"/>
      <c r="X119" s="786"/>
      <c r="Y119" s="786"/>
      <c r="Z119" s="786"/>
      <c r="AA119" s="786"/>
      <c r="AB119" s="786"/>
      <c r="AC119" s="2146"/>
      <c r="AD119" s="786"/>
      <c r="AE119" s="786"/>
      <c r="AF119" s="786"/>
      <c r="AG119" s="786"/>
      <c r="AH119" s="786"/>
      <c r="AI119" s="786"/>
      <c r="AJ119" s="786"/>
      <c r="AK119" s="786"/>
      <c r="AL119" s="786"/>
      <c r="AM119" s="786"/>
    </row>
    <row r="120" spans="1:39">
      <c r="A120" s="786"/>
      <c r="B120" s="786"/>
      <c r="C120" s="786"/>
      <c r="D120" s="786"/>
      <c r="E120" s="786"/>
      <c r="F120" s="786"/>
      <c r="G120" s="786"/>
      <c r="H120" s="786"/>
      <c r="I120" s="786"/>
      <c r="J120" s="786"/>
      <c r="K120" s="786"/>
      <c r="L120" s="786"/>
      <c r="M120" s="786"/>
      <c r="N120" s="786"/>
      <c r="O120" s="786"/>
      <c r="P120" s="786"/>
      <c r="Q120" s="786"/>
      <c r="R120" s="786"/>
      <c r="S120" s="786"/>
      <c r="T120" s="786"/>
      <c r="U120" s="786"/>
      <c r="V120" s="786"/>
      <c r="W120" s="786"/>
      <c r="X120" s="786"/>
      <c r="Y120" s="786"/>
      <c r="Z120" s="786"/>
      <c r="AA120" s="786"/>
      <c r="AB120" s="786"/>
      <c r="AC120" s="2146"/>
      <c r="AD120" s="786"/>
      <c r="AE120" s="786"/>
      <c r="AF120" s="786"/>
      <c r="AG120" s="786"/>
      <c r="AH120" s="786"/>
      <c r="AI120" s="786"/>
      <c r="AJ120" s="786"/>
      <c r="AK120" s="786"/>
      <c r="AL120" s="786"/>
      <c r="AM120" s="786"/>
    </row>
    <row r="121" spans="1:39">
      <c r="A121" s="786"/>
      <c r="B121" s="786"/>
      <c r="C121" s="786"/>
      <c r="D121" s="786"/>
      <c r="E121" s="786"/>
      <c r="F121" s="786"/>
      <c r="G121" s="786"/>
      <c r="H121" s="786"/>
      <c r="I121" s="786"/>
      <c r="J121" s="786"/>
      <c r="K121" s="786"/>
      <c r="L121" s="786"/>
      <c r="M121" s="786"/>
      <c r="N121" s="786"/>
      <c r="O121" s="786"/>
      <c r="P121" s="786"/>
      <c r="Q121" s="786"/>
      <c r="R121" s="786"/>
      <c r="S121" s="786"/>
      <c r="T121" s="786"/>
      <c r="U121" s="786"/>
      <c r="V121" s="786"/>
      <c r="W121" s="786"/>
      <c r="X121" s="786"/>
      <c r="Y121" s="786"/>
      <c r="Z121" s="786"/>
      <c r="AA121" s="786"/>
      <c r="AB121" s="786"/>
      <c r="AC121" s="2146"/>
      <c r="AD121" s="786"/>
      <c r="AE121" s="786"/>
      <c r="AF121" s="786"/>
      <c r="AG121" s="786"/>
      <c r="AH121" s="786"/>
      <c r="AI121" s="786"/>
      <c r="AJ121" s="786"/>
      <c r="AK121" s="786"/>
      <c r="AL121" s="786"/>
      <c r="AM121" s="786"/>
    </row>
    <row r="122" spans="1:39">
      <c r="A122" s="786"/>
      <c r="B122" s="786"/>
      <c r="C122" s="786"/>
      <c r="D122" s="786"/>
      <c r="E122" s="786"/>
      <c r="F122" s="786"/>
      <c r="G122" s="786"/>
      <c r="H122" s="786"/>
      <c r="I122" s="786"/>
      <c r="J122" s="786"/>
      <c r="K122" s="786"/>
      <c r="L122" s="786"/>
      <c r="M122" s="786"/>
      <c r="N122" s="786"/>
      <c r="O122" s="786"/>
      <c r="P122" s="786"/>
      <c r="Q122" s="786"/>
      <c r="R122" s="786"/>
      <c r="S122" s="786"/>
      <c r="T122" s="786"/>
      <c r="U122" s="786"/>
      <c r="V122" s="786"/>
      <c r="W122" s="786"/>
      <c r="X122" s="786"/>
      <c r="Y122" s="786"/>
      <c r="Z122" s="786"/>
      <c r="AA122" s="786"/>
      <c r="AB122" s="786"/>
      <c r="AC122" s="2146"/>
      <c r="AD122" s="786"/>
      <c r="AE122" s="786"/>
      <c r="AF122" s="786"/>
      <c r="AG122" s="786"/>
      <c r="AH122" s="786"/>
      <c r="AI122" s="786"/>
      <c r="AJ122" s="786"/>
      <c r="AK122" s="786"/>
      <c r="AL122" s="786"/>
      <c r="AM122" s="786"/>
    </row>
    <row r="123" spans="1:39">
      <c r="A123" s="786"/>
      <c r="B123" s="786"/>
      <c r="C123" s="786"/>
      <c r="D123" s="786"/>
      <c r="E123" s="786"/>
      <c r="F123" s="786"/>
      <c r="G123" s="786"/>
      <c r="H123" s="786"/>
      <c r="I123" s="786"/>
      <c r="J123" s="786"/>
      <c r="K123" s="786"/>
      <c r="L123" s="786"/>
      <c r="M123" s="786"/>
      <c r="N123" s="786"/>
      <c r="O123" s="786"/>
      <c r="P123" s="786"/>
      <c r="Q123" s="786"/>
      <c r="R123" s="786"/>
      <c r="S123" s="786"/>
      <c r="T123" s="786"/>
      <c r="U123" s="786"/>
      <c r="V123" s="786"/>
      <c r="W123" s="786"/>
      <c r="X123" s="786"/>
      <c r="Y123" s="786"/>
      <c r="Z123" s="786"/>
      <c r="AA123" s="786"/>
      <c r="AB123" s="786"/>
      <c r="AC123" s="2146"/>
      <c r="AD123" s="786"/>
      <c r="AE123" s="786"/>
      <c r="AF123" s="786"/>
      <c r="AG123" s="786"/>
      <c r="AH123" s="786"/>
      <c r="AI123" s="786"/>
      <c r="AJ123" s="786"/>
      <c r="AK123" s="786"/>
      <c r="AL123" s="786"/>
      <c r="AM123" s="786"/>
    </row>
    <row r="124" spans="1:39">
      <c r="A124" s="786"/>
      <c r="B124" s="786"/>
      <c r="C124" s="786"/>
      <c r="D124" s="786"/>
      <c r="E124" s="786"/>
      <c r="F124" s="786"/>
      <c r="G124" s="786"/>
      <c r="H124" s="786"/>
      <c r="I124" s="786"/>
      <c r="J124" s="786"/>
      <c r="K124" s="786"/>
      <c r="L124" s="786"/>
      <c r="M124" s="786"/>
      <c r="N124" s="786"/>
      <c r="O124" s="786"/>
      <c r="P124" s="786"/>
      <c r="Q124" s="786"/>
      <c r="R124" s="786"/>
      <c r="S124" s="786"/>
      <c r="T124" s="786"/>
      <c r="U124" s="786"/>
      <c r="V124" s="786"/>
      <c r="W124" s="786"/>
      <c r="X124" s="786"/>
      <c r="Y124" s="786"/>
      <c r="Z124" s="786"/>
      <c r="AA124" s="786"/>
      <c r="AB124" s="786"/>
      <c r="AC124" s="2146"/>
      <c r="AD124" s="786"/>
      <c r="AE124" s="786"/>
      <c r="AF124" s="786"/>
      <c r="AG124" s="786"/>
      <c r="AH124" s="786"/>
      <c r="AI124" s="786"/>
      <c r="AJ124" s="786"/>
      <c r="AK124" s="786"/>
      <c r="AL124" s="786"/>
      <c r="AM124" s="786"/>
    </row>
    <row r="125" spans="1:39">
      <c r="A125" s="786"/>
      <c r="B125" s="786"/>
      <c r="C125" s="786"/>
      <c r="D125" s="786"/>
      <c r="E125" s="786"/>
      <c r="F125" s="786"/>
      <c r="G125" s="786"/>
      <c r="H125" s="786"/>
      <c r="I125" s="786"/>
      <c r="J125" s="786"/>
      <c r="K125" s="786"/>
      <c r="L125" s="786"/>
      <c r="M125" s="786"/>
      <c r="N125" s="786"/>
      <c r="O125" s="786"/>
      <c r="P125" s="786"/>
      <c r="Q125" s="786"/>
      <c r="R125" s="786"/>
      <c r="S125" s="786"/>
      <c r="T125" s="786"/>
      <c r="U125" s="786"/>
      <c r="V125" s="786"/>
      <c r="W125" s="786"/>
      <c r="X125" s="786"/>
      <c r="Y125" s="786"/>
      <c r="Z125" s="786"/>
      <c r="AA125" s="786"/>
      <c r="AB125" s="786"/>
      <c r="AC125" s="2146"/>
      <c r="AD125" s="786"/>
      <c r="AE125" s="786"/>
      <c r="AF125" s="786"/>
      <c r="AG125" s="786"/>
      <c r="AH125" s="786"/>
      <c r="AI125" s="786"/>
      <c r="AJ125" s="786"/>
      <c r="AK125" s="786"/>
      <c r="AL125" s="786"/>
      <c r="AM125" s="786"/>
    </row>
    <row r="126" spans="1:39">
      <c r="A126" s="786"/>
      <c r="B126" s="786"/>
      <c r="C126" s="786"/>
      <c r="D126" s="786"/>
      <c r="E126" s="786"/>
      <c r="F126" s="786"/>
      <c r="G126" s="786"/>
      <c r="H126" s="786"/>
      <c r="I126" s="786"/>
      <c r="J126" s="786"/>
      <c r="K126" s="786"/>
      <c r="L126" s="786"/>
      <c r="M126" s="786"/>
      <c r="N126" s="786"/>
      <c r="O126" s="786"/>
      <c r="P126" s="786"/>
      <c r="Q126" s="786"/>
      <c r="R126" s="786"/>
      <c r="S126" s="786"/>
      <c r="T126" s="786"/>
      <c r="U126" s="786"/>
      <c r="V126" s="786"/>
      <c r="W126" s="786"/>
      <c r="X126" s="786"/>
      <c r="Y126" s="786"/>
      <c r="Z126" s="786"/>
      <c r="AA126" s="786"/>
      <c r="AB126" s="786"/>
      <c r="AC126" s="2146"/>
      <c r="AD126" s="786"/>
      <c r="AE126" s="786"/>
      <c r="AF126" s="786"/>
      <c r="AG126" s="786"/>
      <c r="AH126" s="786"/>
      <c r="AI126" s="786"/>
      <c r="AJ126" s="786"/>
      <c r="AK126" s="786"/>
      <c r="AL126" s="786"/>
      <c r="AM126" s="786"/>
    </row>
    <row r="127" spans="1:39">
      <c r="A127" s="786"/>
      <c r="B127" s="786"/>
      <c r="C127" s="786"/>
      <c r="D127" s="786"/>
      <c r="E127" s="786"/>
      <c r="F127" s="786"/>
      <c r="G127" s="786"/>
      <c r="H127" s="786"/>
      <c r="I127" s="786"/>
      <c r="J127" s="786"/>
      <c r="K127" s="786"/>
      <c r="L127" s="786"/>
      <c r="M127" s="786"/>
      <c r="N127" s="786"/>
      <c r="O127" s="786"/>
      <c r="P127" s="786"/>
      <c r="Q127" s="786"/>
      <c r="R127" s="786"/>
      <c r="S127" s="786"/>
      <c r="T127" s="786"/>
      <c r="U127" s="786"/>
      <c r="V127" s="786"/>
      <c r="W127" s="786"/>
      <c r="X127" s="786"/>
      <c r="Y127" s="786"/>
      <c r="Z127" s="786"/>
      <c r="AA127" s="786"/>
      <c r="AB127" s="786"/>
      <c r="AC127" s="2146"/>
      <c r="AD127" s="786"/>
      <c r="AE127" s="786"/>
      <c r="AF127" s="786"/>
      <c r="AG127" s="786"/>
      <c r="AH127" s="786"/>
      <c r="AI127" s="786"/>
      <c r="AJ127" s="786"/>
      <c r="AK127" s="786"/>
      <c r="AL127" s="786"/>
      <c r="AM127" s="786"/>
    </row>
    <row r="128" spans="1:39">
      <c r="A128" s="786"/>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6"/>
      <c r="X128" s="786"/>
      <c r="Y128" s="786"/>
      <c r="Z128" s="786"/>
      <c r="AA128" s="786"/>
      <c r="AB128" s="786"/>
      <c r="AC128" s="2146"/>
      <c r="AD128" s="786"/>
      <c r="AE128" s="786"/>
      <c r="AF128" s="786"/>
      <c r="AG128" s="786"/>
      <c r="AH128" s="786"/>
      <c r="AI128" s="786"/>
      <c r="AJ128" s="786"/>
      <c r="AK128" s="786"/>
      <c r="AL128" s="786"/>
      <c r="AM128" s="786"/>
    </row>
    <row r="129" spans="1:39">
      <c r="A129" s="786"/>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786"/>
      <c r="X129" s="786"/>
      <c r="Y129" s="786"/>
      <c r="Z129" s="786"/>
      <c r="AA129" s="786"/>
      <c r="AB129" s="786"/>
      <c r="AC129" s="2146"/>
      <c r="AD129" s="786"/>
      <c r="AE129" s="786"/>
      <c r="AF129" s="786"/>
      <c r="AG129" s="786"/>
      <c r="AH129" s="786"/>
      <c r="AI129" s="786"/>
      <c r="AJ129" s="786"/>
      <c r="AK129" s="786"/>
      <c r="AL129" s="786"/>
      <c r="AM129" s="786"/>
    </row>
    <row r="130" spans="1:39">
      <c r="A130" s="786"/>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786"/>
      <c r="X130" s="786"/>
      <c r="Y130" s="786"/>
      <c r="Z130" s="786"/>
      <c r="AA130" s="786"/>
      <c r="AB130" s="786"/>
      <c r="AC130" s="2146"/>
      <c r="AD130" s="786"/>
      <c r="AE130" s="786"/>
      <c r="AF130" s="786"/>
      <c r="AG130" s="786"/>
      <c r="AH130" s="786"/>
      <c r="AI130" s="786"/>
      <c r="AJ130" s="786"/>
      <c r="AK130" s="786"/>
      <c r="AL130" s="786"/>
      <c r="AM130" s="786"/>
    </row>
    <row r="131" spans="1:39">
      <c r="A131" s="786"/>
      <c r="B131" s="786"/>
      <c r="C131" s="786"/>
      <c r="D131" s="786"/>
      <c r="E131" s="786"/>
      <c r="F131" s="786"/>
      <c r="G131" s="786"/>
      <c r="H131" s="786"/>
      <c r="I131" s="786"/>
      <c r="J131" s="786"/>
      <c r="K131" s="786"/>
      <c r="L131" s="786"/>
      <c r="M131" s="786"/>
      <c r="N131" s="786"/>
      <c r="O131" s="786"/>
      <c r="P131" s="786"/>
      <c r="Q131" s="786"/>
      <c r="R131" s="786"/>
      <c r="S131" s="786"/>
      <c r="T131" s="786"/>
      <c r="U131" s="786"/>
      <c r="V131" s="786"/>
      <c r="W131" s="786"/>
      <c r="X131" s="786"/>
      <c r="Y131" s="786"/>
      <c r="Z131" s="786"/>
      <c r="AA131" s="786"/>
      <c r="AB131" s="786"/>
      <c r="AC131" s="2146"/>
      <c r="AD131" s="786"/>
      <c r="AE131" s="786"/>
      <c r="AF131" s="786"/>
      <c r="AG131" s="786"/>
      <c r="AH131" s="786"/>
      <c r="AI131" s="786"/>
      <c r="AJ131" s="786"/>
      <c r="AK131" s="786"/>
      <c r="AL131" s="786"/>
      <c r="AM131" s="786"/>
    </row>
    <row r="132" spans="1:39">
      <c r="A132" s="786"/>
      <c r="B132" s="786"/>
      <c r="C132" s="786"/>
      <c r="D132" s="786"/>
      <c r="E132" s="786"/>
      <c r="F132" s="786"/>
      <c r="G132" s="786"/>
      <c r="H132" s="786"/>
      <c r="I132" s="786"/>
      <c r="J132" s="786"/>
      <c r="K132" s="786"/>
      <c r="L132" s="786"/>
      <c r="M132" s="786"/>
      <c r="N132" s="786"/>
      <c r="O132" s="786"/>
      <c r="P132" s="786"/>
      <c r="Q132" s="786"/>
      <c r="R132" s="786"/>
      <c r="S132" s="786"/>
      <c r="T132" s="786"/>
      <c r="U132" s="786"/>
      <c r="V132" s="786"/>
      <c r="W132" s="786"/>
      <c r="X132" s="786"/>
      <c r="Y132" s="786"/>
      <c r="Z132" s="786"/>
      <c r="AA132" s="786"/>
      <c r="AB132" s="786"/>
      <c r="AC132" s="2146"/>
      <c r="AD132" s="786"/>
      <c r="AE132" s="786"/>
      <c r="AF132" s="786"/>
      <c r="AG132" s="786"/>
      <c r="AH132" s="786"/>
      <c r="AI132" s="786"/>
      <c r="AJ132" s="786"/>
      <c r="AK132" s="786"/>
      <c r="AL132" s="786"/>
      <c r="AM132" s="786"/>
    </row>
    <row r="133" spans="1:39">
      <c r="A133" s="786"/>
      <c r="B133" s="786"/>
      <c r="C133" s="786"/>
      <c r="D133" s="786"/>
      <c r="E133" s="786"/>
      <c r="F133" s="786"/>
      <c r="G133" s="786"/>
      <c r="H133" s="786"/>
      <c r="I133" s="786"/>
      <c r="J133" s="786"/>
      <c r="K133" s="786"/>
      <c r="L133" s="786"/>
      <c r="M133" s="786"/>
      <c r="N133" s="786"/>
      <c r="O133" s="786"/>
      <c r="P133" s="786"/>
      <c r="Q133" s="786"/>
      <c r="R133" s="786"/>
      <c r="S133" s="786"/>
      <c r="T133" s="786"/>
      <c r="U133" s="786"/>
      <c r="V133" s="786"/>
      <c r="W133" s="786"/>
      <c r="X133" s="786"/>
      <c r="Y133" s="786"/>
      <c r="Z133" s="786"/>
      <c r="AA133" s="786"/>
      <c r="AB133" s="786"/>
      <c r="AC133" s="2146"/>
      <c r="AD133" s="786"/>
      <c r="AE133" s="786"/>
      <c r="AF133" s="786"/>
      <c r="AG133" s="786"/>
      <c r="AH133" s="786"/>
      <c r="AI133" s="786"/>
      <c r="AJ133" s="786"/>
      <c r="AK133" s="786"/>
      <c r="AL133" s="786"/>
      <c r="AM133" s="786"/>
    </row>
    <row r="134" spans="1:39">
      <c r="A134" s="786"/>
      <c r="B134" s="786"/>
      <c r="C134" s="786"/>
      <c r="D134" s="786"/>
      <c r="E134" s="786"/>
      <c r="F134" s="786"/>
      <c r="G134" s="786"/>
      <c r="H134" s="786"/>
      <c r="I134" s="786"/>
      <c r="J134" s="786"/>
      <c r="K134" s="786"/>
      <c r="L134" s="786"/>
      <c r="M134" s="786"/>
      <c r="N134" s="786"/>
      <c r="O134" s="786"/>
      <c r="P134" s="786"/>
      <c r="Q134" s="786"/>
      <c r="R134" s="786"/>
      <c r="S134" s="786"/>
      <c r="T134" s="786"/>
      <c r="U134" s="786"/>
      <c r="V134" s="786"/>
      <c r="W134" s="786"/>
      <c r="X134" s="786"/>
      <c r="Y134" s="786"/>
      <c r="Z134" s="786"/>
      <c r="AA134" s="786"/>
      <c r="AB134" s="786"/>
      <c r="AC134" s="2146"/>
      <c r="AD134" s="786"/>
      <c r="AE134" s="786"/>
      <c r="AF134" s="786"/>
      <c r="AG134" s="786"/>
      <c r="AH134" s="786"/>
      <c r="AI134" s="786"/>
      <c r="AJ134" s="786"/>
      <c r="AK134" s="786"/>
      <c r="AL134" s="786"/>
      <c r="AM134" s="786"/>
    </row>
    <row r="135" spans="1:39">
      <c r="A135" s="786"/>
      <c r="B135" s="786"/>
      <c r="C135" s="786"/>
      <c r="D135" s="786"/>
      <c r="E135" s="786"/>
      <c r="F135" s="786"/>
      <c r="G135" s="786"/>
      <c r="H135" s="786"/>
      <c r="I135" s="786"/>
      <c r="J135" s="786"/>
      <c r="K135" s="786"/>
      <c r="L135" s="786"/>
      <c r="M135" s="786"/>
      <c r="N135" s="786"/>
      <c r="O135" s="786"/>
      <c r="P135" s="786"/>
      <c r="Q135" s="786"/>
      <c r="R135" s="786"/>
      <c r="S135" s="786"/>
      <c r="T135" s="786"/>
      <c r="U135" s="786"/>
      <c r="V135" s="786"/>
      <c r="W135" s="786"/>
      <c r="X135" s="786"/>
      <c r="Y135" s="786"/>
      <c r="Z135" s="786"/>
      <c r="AA135" s="786"/>
      <c r="AB135" s="786"/>
      <c r="AC135" s="2146"/>
      <c r="AD135" s="786"/>
      <c r="AE135" s="786"/>
      <c r="AF135" s="786"/>
      <c r="AG135" s="786"/>
      <c r="AH135" s="786"/>
      <c r="AI135" s="786"/>
      <c r="AJ135" s="786"/>
      <c r="AK135" s="786"/>
      <c r="AL135" s="786"/>
      <c r="AM135" s="786"/>
    </row>
    <row r="136" spans="1:39">
      <c r="A136" s="786"/>
      <c r="B136" s="786"/>
      <c r="C136" s="786"/>
      <c r="D136" s="786"/>
      <c r="E136" s="786"/>
      <c r="F136" s="786"/>
      <c r="G136" s="786"/>
      <c r="H136" s="786"/>
      <c r="I136" s="786"/>
      <c r="J136" s="786"/>
      <c r="K136" s="786"/>
      <c r="L136" s="786"/>
      <c r="M136" s="786"/>
      <c r="N136" s="786"/>
      <c r="O136" s="786"/>
      <c r="P136" s="786"/>
      <c r="Q136" s="786"/>
      <c r="R136" s="786"/>
      <c r="S136" s="786"/>
      <c r="T136" s="786"/>
      <c r="U136" s="786"/>
      <c r="V136" s="786"/>
      <c r="W136" s="786"/>
      <c r="X136" s="786"/>
      <c r="Y136" s="786"/>
      <c r="Z136" s="786"/>
      <c r="AA136" s="786"/>
      <c r="AB136" s="786"/>
      <c r="AC136" s="2146"/>
      <c r="AD136" s="786"/>
      <c r="AE136" s="786"/>
      <c r="AF136" s="786"/>
      <c r="AG136" s="786"/>
      <c r="AH136" s="786"/>
      <c r="AI136" s="786"/>
      <c r="AJ136" s="786"/>
      <c r="AK136" s="786"/>
      <c r="AL136" s="786"/>
      <c r="AM136" s="786"/>
    </row>
    <row r="137" spans="1:39">
      <c r="A137" s="786"/>
      <c r="B137" s="786"/>
      <c r="C137" s="786"/>
      <c r="D137" s="786"/>
      <c r="E137" s="786"/>
      <c r="F137" s="786"/>
      <c r="G137" s="786"/>
      <c r="H137" s="786"/>
      <c r="I137" s="786"/>
      <c r="J137" s="786"/>
      <c r="K137" s="786"/>
      <c r="L137" s="786"/>
      <c r="M137" s="786"/>
      <c r="N137" s="786"/>
      <c r="O137" s="786"/>
      <c r="P137" s="786"/>
      <c r="Q137" s="786"/>
      <c r="R137" s="786"/>
      <c r="S137" s="786"/>
      <c r="T137" s="786"/>
      <c r="U137" s="786"/>
      <c r="V137" s="786"/>
      <c r="W137" s="786"/>
      <c r="X137" s="786"/>
      <c r="Y137" s="786"/>
      <c r="Z137" s="786"/>
      <c r="AA137" s="786"/>
      <c r="AB137" s="786"/>
      <c r="AC137" s="2146"/>
      <c r="AD137" s="786"/>
      <c r="AE137" s="786"/>
      <c r="AF137" s="786"/>
      <c r="AG137" s="786"/>
      <c r="AH137" s="786"/>
      <c r="AI137" s="786"/>
      <c r="AJ137" s="786"/>
      <c r="AK137" s="786"/>
      <c r="AL137" s="786"/>
      <c r="AM137" s="786"/>
    </row>
    <row r="138" spans="1:39">
      <c r="A138" s="786"/>
      <c r="B138" s="786"/>
      <c r="C138" s="786"/>
      <c r="D138" s="786"/>
      <c r="E138" s="786"/>
      <c r="F138" s="786"/>
      <c r="G138" s="786"/>
      <c r="H138" s="786"/>
      <c r="I138" s="786"/>
      <c r="J138" s="786"/>
      <c r="K138" s="786"/>
      <c r="L138" s="786"/>
      <c r="M138" s="786"/>
      <c r="N138" s="786"/>
      <c r="O138" s="786"/>
      <c r="P138" s="786"/>
      <c r="Q138" s="786"/>
      <c r="R138" s="786"/>
      <c r="S138" s="786"/>
      <c r="T138" s="786"/>
      <c r="U138" s="786"/>
      <c r="V138" s="786"/>
      <c r="W138" s="786"/>
      <c r="X138" s="786"/>
      <c r="Y138" s="786"/>
      <c r="Z138" s="786"/>
      <c r="AA138" s="786"/>
      <c r="AB138" s="786"/>
      <c r="AC138" s="2146"/>
      <c r="AD138" s="786"/>
      <c r="AE138" s="786"/>
      <c r="AF138" s="786"/>
      <c r="AG138" s="786"/>
      <c r="AH138" s="786"/>
      <c r="AI138" s="786"/>
      <c r="AJ138" s="786"/>
      <c r="AK138" s="786"/>
      <c r="AL138" s="786"/>
      <c r="AM138" s="786"/>
    </row>
    <row r="139" spans="1:39">
      <c r="A139" s="786"/>
      <c r="B139" s="786"/>
      <c r="C139" s="786"/>
      <c r="D139" s="786"/>
      <c r="E139" s="786"/>
      <c r="F139" s="786"/>
      <c r="G139" s="786"/>
      <c r="H139" s="786"/>
      <c r="I139" s="786"/>
      <c r="J139" s="786"/>
      <c r="K139" s="786"/>
      <c r="L139" s="786"/>
      <c r="M139" s="786"/>
      <c r="N139" s="786"/>
      <c r="O139" s="786"/>
      <c r="P139" s="786"/>
      <c r="Q139" s="786"/>
      <c r="R139" s="786"/>
      <c r="S139" s="786"/>
      <c r="T139" s="786"/>
      <c r="U139" s="786"/>
      <c r="V139" s="786"/>
      <c r="W139" s="786"/>
      <c r="X139" s="786"/>
      <c r="Y139" s="786"/>
      <c r="Z139" s="786"/>
      <c r="AA139" s="786"/>
      <c r="AB139" s="786"/>
      <c r="AC139" s="2146"/>
      <c r="AD139" s="786"/>
      <c r="AE139" s="786"/>
      <c r="AF139" s="786"/>
      <c r="AG139" s="786"/>
      <c r="AH139" s="786"/>
      <c r="AI139" s="786"/>
      <c r="AJ139" s="786"/>
      <c r="AK139" s="786"/>
      <c r="AL139" s="786"/>
      <c r="AM139" s="786"/>
    </row>
    <row r="140" spans="1:39">
      <c r="A140" s="786"/>
      <c r="B140" s="786"/>
      <c r="C140" s="786"/>
      <c r="D140" s="786"/>
      <c r="E140" s="786"/>
      <c r="F140" s="786"/>
      <c r="G140" s="786"/>
      <c r="H140" s="786"/>
      <c r="I140" s="786"/>
      <c r="J140" s="786"/>
      <c r="K140" s="786"/>
      <c r="L140" s="786"/>
      <c r="M140" s="786"/>
      <c r="N140" s="786"/>
      <c r="O140" s="786"/>
      <c r="P140" s="786"/>
      <c r="Q140" s="786"/>
      <c r="R140" s="786"/>
      <c r="S140" s="786"/>
      <c r="T140" s="786"/>
      <c r="U140" s="786"/>
      <c r="V140" s="786"/>
      <c r="W140" s="786"/>
      <c r="X140" s="786"/>
      <c r="Y140" s="786"/>
      <c r="Z140" s="786"/>
      <c r="AA140" s="786"/>
      <c r="AB140" s="786"/>
      <c r="AC140" s="2146"/>
      <c r="AD140" s="786"/>
      <c r="AE140" s="786"/>
      <c r="AF140" s="786"/>
      <c r="AG140" s="786"/>
      <c r="AH140" s="786"/>
      <c r="AI140" s="786"/>
      <c r="AJ140" s="786"/>
      <c r="AK140" s="786"/>
      <c r="AL140" s="786"/>
      <c r="AM140" s="786"/>
    </row>
    <row r="141" spans="1:39">
      <c r="A141" s="786"/>
      <c r="B141" s="786"/>
      <c r="C141" s="786"/>
      <c r="D141" s="786"/>
      <c r="E141" s="786"/>
      <c r="F141" s="786"/>
      <c r="G141" s="786"/>
      <c r="H141" s="786"/>
      <c r="I141" s="786"/>
      <c r="J141" s="786"/>
      <c r="K141" s="786"/>
      <c r="L141" s="786"/>
      <c r="M141" s="786"/>
      <c r="N141" s="786"/>
      <c r="O141" s="786"/>
      <c r="P141" s="786"/>
      <c r="Q141" s="786"/>
      <c r="R141" s="786"/>
      <c r="S141" s="786"/>
      <c r="T141" s="786"/>
      <c r="U141" s="786"/>
      <c r="V141" s="786"/>
      <c r="W141" s="786"/>
      <c r="X141" s="786"/>
      <c r="Y141" s="786"/>
      <c r="Z141" s="786"/>
      <c r="AA141" s="786"/>
      <c r="AB141" s="786"/>
      <c r="AC141" s="2146"/>
      <c r="AD141" s="786"/>
      <c r="AE141" s="786"/>
      <c r="AF141" s="786"/>
      <c r="AG141" s="786"/>
      <c r="AH141" s="786"/>
      <c r="AI141" s="786"/>
      <c r="AJ141" s="786"/>
      <c r="AK141" s="786"/>
      <c r="AL141" s="786"/>
      <c r="AM141" s="786"/>
    </row>
    <row r="142" spans="1:39">
      <c r="A142" s="786"/>
      <c r="B142" s="786"/>
      <c r="C142" s="786"/>
      <c r="D142" s="786"/>
      <c r="E142" s="786"/>
      <c r="F142" s="786"/>
      <c r="G142" s="786"/>
      <c r="H142" s="786"/>
      <c r="I142" s="786"/>
      <c r="J142" s="786"/>
      <c r="K142" s="786"/>
      <c r="L142" s="786"/>
      <c r="M142" s="786"/>
      <c r="N142" s="786"/>
      <c r="O142" s="786"/>
      <c r="P142" s="786"/>
      <c r="Q142" s="786"/>
      <c r="R142" s="786"/>
      <c r="S142" s="786"/>
      <c r="T142" s="786"/>
      <c r="U142" s="786"/>
      <c r="V142" s="786"/>
      <c r="W142" s="786"/>
      <c r="X142" s="786"/>
      <c r="Y142" s="786"/>
      <c r="Z142" s="786"/>
      <c r="AA142" s="786"/>
      <c r="AB142" s="786"/>
      <c r="AC142" s="2146"/>
      <c r="AD142" s="786"/>
      <c r="AE142" s="786"/>
      <c r="AF142" s="786"/>
      <c r="AG142" s="786"/>
      <c r="AH142" s="786"/>
      <c r="AI142" s="786"/>
      <c r="AJ142" s="786"/>
      <c r="AK142" s="786"/>
      <c r="AL142" s="786"/>
      <c r="AM142" s="786"/>
    </row>
    <row r="143" spans="1:39">
      <c r="A143" s="786"/>
      <c r="B143" s="786"/>
      <c r="C143" s="786"/>
      <c r="D143" s="786"/>
      <c r="E143" s="786"/>
      <c r="F143" s="786"/>
      <c r="G143" s="786"/>
      <c r="H143" s="786"/>
      <c r="I143" s="786"/>
      <c r="J143" s="786"/>
      <c r="K143" s="786"/>
      <c r="L143" s="786"/>
      <c r="M143" s="786"/>
      <c r="N143" s="786"/>
      <c r="O143" s="786"/>
      <c r="P143" s="786"/>
      <c r="Q143" s="786"/>
      <c r="R143" s="786"/>
      <c r="S143" s="786"/>
      <c r="T143" s="786"/>
      <c r="U143" s="786"/>
      <c r="V143" s="786"/>
      <c r="W143" s="786"/>
      <c r="X143" s="786"/>
      <c r="Y143" s="786"/>
      <c r="Z143" s="786"/>
      <c r="AA143" s="786"/>
      <c r="AB143" s="786"/>
      <c r="AC143" s="2146"/>
      <c r="AD143" s="786"/>
      <c r="AE143" s="786"/>
      <c r="AF143" s="786"/>
      <c r="AG143" s="786"/>
      <c r="AH143" s="786"/>
      <c r="AI143" s="786"/>
      <c r="AJ143" s="786"/>
      <c r="AK143" s="786"/>
      <c r="AL143" s="786"/>
      <c r="AM143" s="786"/>
    </row>
    <row r="144" spans="1:39">
      <c r="A144" s="786"/>
      <c r="B144" s="786"/>
      <c r="C144" s="786"/>
      <c r="D144" s="786"/>
      <c r="E144" s="786"/>
      <c r="F144" s="786"/>
      <c r="G144" s="786"/>
      <c r="H144" s="786"/>
      <c r="I144" s="786"/>
      <c r="J144" s="786"/>
      <c r="K144" s="786"/>
      <c r="L144" s="786"/>
      <c r="M144" s="786"/>
      <c r="N144" s="786"/>
      <c r="O144" s="786"/>
      <c r="P144" s="786"/>
      <c r="Q144" s="786"/>
      <c r="R144" s="786"/>
      <c r="S144" s="786"/>
      <c r="T144" s="786"/>
      <c r="U144" s="786"/>
      <c r="V144" s="786"/>
      <c r="W144" s="786"/>
      <c r="X144" s="786"/>
      <c r="Y144" s="786"/>
      <c r="Z144" s="786"/>
      <c r="AA144" s="786"/>
      <c r="AB144" s="786"/>
      <c r="AC144" s="2146"/>
      <c r="AD144" s="786"/>
      <c r="AE144" s="786"/>
      <c r="AF144" s="786"/>
      <c r="AG144" s="786"/>
      <c r="AH144" s="786"/>
      <c r="AI144" s="786"/>
      <c r="AJ144" s="786"/>
      <c r="AK144" s="786"/>
      <c r="AL144" s="786"/>
      <c r="AM144" s="786"/>
    </row>
    <row r="145" spans="1:39">
      <c r="A145" s="786"/>
      <c r="B145" s="786"/>
      <c r="C145" s="786"/>
      <c r="D145" s="786"/>
      <c r="E145" s="786"/>
      <c r="F145" s="786"/>
      <c r="G145" s="786"/>
      <c r="H145" s="786"/>
      <c r="I145" s="786"/>
      <c r="J145" s="786"/>
      <c r="K145" s="786"/>
      <c r="L145" s="786"/>
      <c r="M145" s="786"/>
      <c r="N145" s="786"/>
      <c r="O145" s="786"/>
      <c r="P145" s="786"/>
      <c r="Q145" s="786"/>
      <c r="R145" s="786"/>
      <c r="S145" s="786"/>
      <c r="T145" s="786"/>
      <c r="U145" s="786"/>
      <c r="V145" s="786"/>
      <c r="W145" s="786"/>
      <c r="X145" s="786"/>
      <c r="Y145" s="786"/>
      <c r="Z145" s="786"/>
      <c r="AA145" s="786"/>
      <c r="AB145" s="786"/>
      <c r="AC145" s="2146"/>
      <c r="AD145" s="786"/>
      <c r="AE145" s="786"/>
      <c r="AF145" s="786"/>
      <c r="AG145" s="786"/>
      <c r="AH145" s="786"/>
      <c r="AI145" s="786"/>
      <c r="AJ145" s="786"/>
      <c r="AK145" s="786"/>
      <c r="AL145" s="786"/>
      <c r="AM145" s="786"/>
    </row>
    <row r="146" spans="1:39">
      <c r="A146" s="786"/>
      <c r="B146" s="786"/>
      <c r="C146" s="786"/>
      <c r="D146" s="786"/>
      <c r="E146" s="786"/>
      <c r="F146" s="786"/>
      <c r="G146" s="786"/>
      <c r="H146" s="786"/>
      <c r="I146" s="786"/>
      <c r="J146" s="786"/>
      <c r="K146" s="786"/>
      <c r="L146" s="786"/>
      <c r="M146" s="786"/>
      <c r="N146" s="786"/>
      <c r="O146" s="786"/>
      <c r="P146" s="786"/>
      <c r="Q146" s="786"/>
      <c r="R146" s="786"/>
      <c r="S146" s="786"/>
      <c r="T146" s="786"/>
      <c r="U146" s="786"/>
      <c r="V146" s="786"/>
      <c r="W146" s="786"/>
      <c r="X146" s="786"/>
      <c r="Y146" s="786"/>
      <c r="Z146" s="786"/>
      <c r="AA146" s="786"/>
      <c r="AB146" s="786"/>
      <c r="AC146" s="2146"/>
      <c r="AD146" s="786"/>
      <c r="AE146" s="786"/>
      <c r="AF146" s="786"/>
      <c r="AG146" s="786"/>
      <c r="AH146" s="786"/>
      <c r="AI146" s="786"/>
      <c r="AJ146" s="786"/>
      <c r="AK146" s="786"/>
      <c r="AL146" s="786"/>
      <c r="AM146" s="786"/>
    </row>
    <row r="147" spans="1:39">
      <c r="A147" s="786"/>
      <c r="B147" s="786"/>
      <c r="C147" s="786"/>
      <c r="D147" s="786"/>
      <c r="E147" s="786"/>
      <c r="F147" s="786"/>
      <c r="G147" s="786"/>
      <c r="H147" s="786"/>
      <c r="I147" s="786"/>
      <c r="J147" s="786"/>
      <c r="K147" s="786"/>
      <c r="L147" s="786"/>
      <c r="M147" s="786"/>
      <c r="N147" s="786"/>
      <c r="O147" s="786"/>
      <c r="P147" s="786"/>
      <c r="Q147" s="786"/>
      <c r="R147" s="786"/>
      <c r="S147" s="786"/>
      <c r="T147" s="786"/>
      <c r="U147" s="786"/>
      <c r="V147" s="786"/>
      <c r="W147" s="786"/>
      <c r="X147" s="786"/>
      <c r="Y147" s="786"/>
      <c r="Z147" s="786"/>
      <c r="AA147" s="786"/>
      <c r="AB147" s="786"/>
      <c r="AC147" s="2146"/>
      <c r="AD147" s="786"/>
      <c r="AE147" s="786"/>
      <c r="AF147" s="786"/>
      <c r="AG147" s="786"/>
      <c r="AH147" s="786"/>
      <c r="AI147" s="786"/>
      <c r="AJ147" s="786"/>
      <c r="AK147" s="786"/>
      <c r="AL147" s="786"/>
      <c r="AM147" s="786"/>
    </row>
    <row r="148" spans="1:39">
      <c r="A148" s="786"/>
      <c r="B148" s="786"/>
      <c r="C148" s="786"/>
      <c r="D148" s="786"/>
      <c r="E148" s="786"/>
      <c r="F148" s="786"/>
      <c r="G148" s="786"/>
      <c r="H148" s="786"/>
      <c r="I148" s="786"/>
      <c r="J148" s="786"/>
      <c r="K148" s="786"/>
      <c r="L148" s="786"/>
      <c r="M148" s="786"/>
      <c r="N148" s="786"/>
      <c r="O148" s="786"/>
      <c r="P148" s="786"/>
      <c r="Q148" s="786"/>
      <c r="R148" s="786"/>
      <c r="S148" s="786"/>
      <c r="T148" s="786"/>
      <c r="U148" s="786"/>
      <c r="V148" s="786"/>
      <c r="W148" s="786"/>
      <c r="X148" s="786"/>
      <c r="Y148" s="786"/>
      <c r="Z148" s="786"/>
      <c r="AA148" s="786"/>
      <c r="AB148" s="786"/>
      <c r="AC148" s="2146"/>
      <c r="AD148" s="786"/>
      <c r="AE148" s="786"/>
      <c r="AF148" s="786"/>
      <c r="AG148" s="786"/>
      <c r="AH148" s="786"/>
      <c r="AI148" s="786"/>
      <c r="AJ148" s="786"/>
      <c r="AK148" s="786"/>
      <c r="AL148" s="786"/>
      <c r="AM148" s="786"/>
    </row>
    <row r="149" spans="1:39">
      <c r="A149" s="786"/>
      <c r="B149" s="786"/>
      <c r="C149" s="786"/>
      <c r="D149" s="786"/>
      <c r="E149" s="786"/>
      <c r="F149" s="786"/>
      <c r="G149" s="786"/>
      <c r="H149" s="786"/>
      <c r="I149" s="786"/>
      <c r="J149" s="786"/>
      <c r="K149" s="786"/>
      <c r="L149" s="786"/>
      <c r="M149" s="786"/>
      <c r="N149" s="786"/>
      <c r="O149" s="786"/>
      <c r="P149" s="786"/>
      <c r="Q149" s="786"/>
      <c r="R149" s="786"/>
      <c r="S149" s="786"/>
      <c r="T149" s="786"/>
      <c r="U149" s="786"/>
      <c r="V149" s="786"/>
      <c r="W149" s="786"/>
      <c r="X149" s="786"/>
      <c r="Y149" s="786"/>
      <c r="Z149" s="786"/>
      <c r="AA149" s="786"/>
      <c r="AB149" s="786"/>
      <c r="AC149" s="2146"/>
      <c r="AD149" s="786"/>
      <c r="AE149" s="786"/>
      <c r="AF149" s="786"/>
      <c r="AG149" s="786"/>
      <c r="AH149" s="786"/>
      <c r="AI149" s="786"/>
      <c r="AJ149" s="786"/>
      <c r="AK149" s="786"/>
      <c r="AL149" s="786"/>
      <c r="AM149" s="786"/>
    </row>
    <row r="150" spans="1:39">
      <c r="A150" s="786"/>
      <c r="B150" s="786"/>
      <c r="C150" s="786"/>
      <c r="D150" s="786"/>
      <c r="E150" s="786"/>
      <c r="F150" s="786"/>
      <c r="G150" s="786"/>
      <c r="H150" s="786"/>
      <c r="I150" s="786"/>
      <c r="J150" s="786"/>
      <c r="K150" s="786"/>
      <c r="L150" s="786"/>
      <c r="M150" s="786"/>
      <c r="N150" s="786"/>
      <c r="O150" s="786"/>
      <c r="P150" s="786"/>
      <c r="Q150" s="786"/>
      <c r="R150" s="786"/>
      <c r="S150" s="786"/>
      <c r="T150" s="786"/>
      <c r="U150" s="786"/>
      <c r="V150" s="786"/>
      <c r="W150" s="786"/>
      <c r="X150" s="786"/>
      <c r="Y150" s="786"/>
      <c r="Z150" s="786"/>
      <c r="AA150" s="786"/>
      <c r="AB150" s="786"/>
      <c r="AC150" s="2146"/>
      <c r="AD150" s="786"/>
      <c r="AE150" s="786"/>
      <c r="AF150" s="786"/>
      <c r="AG150" s="786"/>
      <c r="AH150" s="786"/>
      <c r="AI150" s="786"/>
      <c r="AJ150" s="786"/>
      <c r="AK150" s="786"/>
      <c r="AL150" s="786"/>
      <c r="AM150" s="786"/>
    </row>
    <row r="151" spans="1:39">
      <c r="A151" s="786"/>
      <c r="B151" s="786"/>
      <c r="C151" s="786"/>
      <c r="D151" s="786"/>
      <c r="E151" s="786"/>
      <c r="F151" s="786"/>
      <c r="G151" s="786"/>
      <c r="H151" s="786"/>
      <c r="I151" s="786"/>
      <c r="J151" s="786"/>
      <c r="K151" s="786"/>
      <c r="L151" s="786"/>
      <c r="M151" s="786"/>
      <c r="N151" s="786"/>
      <c r="O151" s="786"/>
      <c r="P151" s="786"/>
      <c r="Q151" s="786"/>
      <c r="R151" s="786"/>
      <c r="S151" s="786"/>
      <c r="T151" s="786"/>
      <c r="U151" s="786"/>
      <c r="V151" s="786"/>
      <c r="W151" s="786"/>
      <c r="X151" s="786"/>
      <c r="Y151" s="786"/>
      <c r="Z151" s="786"/>
      <c r="AA151" s="786"/>
      <c r="AB151" s="786"/>
      <c r="AC151" s="2146"/>
      <c r="AD151" s="786"/>
      <c r="AE151" s="786"/>
      <c r="AF151" s="786"/>
      <c r="AG151" s="786"/>
      <c r="AH151" s="786"/>
      <c r="AI151" s="786"/>
      <c r="AJ151" s="786"/>
      <c r="AK151" s="786"/>
      <c r="AL151" s="786"/>
      <c r="AM151" s="786"/>
    </row>
    <row r="152" spans="1:39">
      <c r="A152" s="786"/>
      <c r="B152" s="786"/>
      <c r="C152" s="786"/>
      <c r="D152" s="786"/>
      <c r="E152" s="786"/>
      <c r="F152" s="786"/>
      <c r="G152" s="786"/>
      <c r="H152" s="786"/>
      <c r="I152" s="786"/>
      <c r="J152" s="786"/>
      <c r="K152" s="786"/>
      <c r="L152" s="786"/>
      <c r="M152" s="786"/>
      <c r="N152" s="786"/>
      <c r="O152" s="786"/>
      <c r="P152" s="786"/>
      <c r="Q152" s="786"/>
      <c r="R152" s="786"/>
      <c r="S152" s="786"/>
      <c r="T152" s="786"/>
      <c r="U152" s="786"/>
      <c r="V152" s="786"/>
      <c r="W152" s="786"/>
      <c r="X152" s="786"/>
      <c r="Y152" s="786"/>
      <c r="Z152" s="786"/>
      <c r="AA152" s="786"/>
      <c r="AB152" s="786"/>
      <c r="AC152" s="2146"/>
      <c r="AD152" s="786"/>
      <c r="AE152" s="786"/>
      <c r="AF152" s="786"/>
      <c r="AG152" s="786"/>
      <c r="AH152" s="786"/>
      <c r="AI152" s="786"/>
      <c r="AJ152" s="786"/>
      <c r="AK152" s="786"/>
      <c r="AL152" s="786"/>
      <c r="AM152" s="786"/>
    </row>
    <row r="153" spans="1:39">
      <c r="A153" s="786"/>
      <c r="B153" s="786"/>
      <c r="C153" s="786"/>
      <c r="D153" s="786"/>
      <c r="E153" s="786"/>
      <c r="F153" s="786"/>
      <c r="G153" s="786"/>
      <c r="H153" s="786"/>
      <c r="I153" s="786"/>
      <c r="J153" s="786"/>
      <c r="K153" s="786"/>
      <c r="L153" s="786"/>
      <c r="M153" s="786"/>
      <c r="N153" s="786"/>
      <c r="O153" s="786"/>
      <c r="P153" s="786"/>
      <c r="Q153" s="786"/>
      <c r="R153" s="786"/>
      <c r="S153" s="786"/>
      <c r="T153" s="786"/>
      <c r="U153" s="786"/>
      <c r="V153" s="786"/>
      <c r="W153" s="786"/>
      <c r="X153" s="786"/>
      <c r="Y153" s="786"/>
      <c r="Z153" s="786"/>
      <c r="AA153" s="786"/>
      <c r="AB153" s="786"/>
      <c r="AC153" s="2146"/>
      <c r="AD153" s="786"/>
      <c r="AE153" s="786"/>
      <c r="AF153" s="786"/>
      <c r="AG153" s="786"/>
      <c r="AH153" s="786"/>
      <c r="AI153" s="786"/>
      <c r="AJ153" s="786"/>
      <c r="AK153" s="786"/>
      <c r="AL153" s="786"/>
      <c r="AM153" s="786"/>
    </row>
    <row r="154" spans="1:39">
      <c r="A154" s="786"/>
      <c r="B154" s="786"/>
      <c r="C154" s="786"/>
      <c r="D154" s="786"/>
      <c r="E154" s="786"/>
      <c r="F154" s="786"/>
      <c r="G154" s="786"/>
      <c r="H154" s="786"/>
      <c r="I154" s="786"/>
      <c r="J154" s="786"/>
      <c r="K154" s="786"/>
      <c r="L154" s="786"/>
      <c r="M154" s="786"/>
      <c r="N154" s="786"/>
      <c r="O154" s="786"/>
      <c r="P154" s="786"/>
      <c r="Q154" s="786"/>
      <c r="R154" s="786"/>
      <c r="S154" s="786"/>
      <c r="T154" s="786"/>
      <c r="U154" s="786"/>
      <c r="V154" s="786"/>
      <c r="W154" s="786"/>
      <c r="X154" s="786"/>
      <c r="Y154" s="786"/>
      <c r="Z154" s="786"/>
      <c r="AA154" s="786"/>
      <c r="AB154" s="786"/>
      <c r="AC154" s="2146"/>
      <c r="AD154" s="786"/>
      <c r="AE154" s="786"/>
      <c r="AF154" s="786"/>
      <c r="AG154" s="786"/>
      <c r="AH154" s="786"/>
      <c r="AI154" s="786"/>
      <c r="AJ154" s="786"/>
      <c r="AK154" s="786"/>
      <c r="AL154" s="786"/>
      <c r="AM154" s="786"/>
    </row>
    <row r="155" spans="1:39">
      <c r="A155" s="786"/>
      <c r="B155" s="786"/>
      <c r="C155" s="786"/>
      <c r="D155" s="786"/>
      <c r="E155" s="786"/>
      <c r="F155" s="786"/>
      <c r="G155" s="786"/>
      <c r="H155" s="786"/>
      <c r="I155" s="786"/>
      <c r="J155" s="786"/>
      <c r="K155" s="786"/>
      <c r="L155" s="786"/>
      <c r="M155" s="786"/>
      <c r="N155" s="786"/>
      <c r="O155" s="786"/>
      <c r="P155" s="786"/>
      <c r="Q155" s="786"/>
      <c r="R155" s="786"/>
      <c r="S155" s="786"/>
      <c r="T155" s="786"/>
      <c r="U155" s="786"/>
      <c r="V155" s="786"/>
      <c r="W155" s="786"/>
      <c r="X155" s="786"/>
      <c r="Y155" s="786"/>
      <c r="Z155" s="786"/>
      <c r="AA155" s="786"/>
      <c r="AB155" s="786"/>
      <c r="AC155" s="2146"/>
      <c r="AD155" s="786"/>
      <c r="AE155" s="786"/>
      <c r="AF155" s="786"/>
      <c r="AG155" s="786"/>
      <c r="AH155" s="786"/>
      <c r="AI155" s="786"/>
      <c r="AJ155" s="786"/>
      <c r="AK155" s="786"/>
      <c r="AL155" s="786"/>
      <c r="AM155" s="786"/>
    </row>
    <row r="156" spans="1:39">
      <c r="A156" s="786"/>
      <c r="B156" s="786"/>
      <c r="C156" s="786"/>
      <c r="D156" s="786"/>
      <c r="E156" s="786"/>
      <c r="F156" s="786"/>
      <c r="G156" s="786"/>
      <c r="H156" s="786"/>
      <c r="I156" s="786"/>
      <c r="J156" s="786"/>
      <c r="K156" s="786"/>
      <c r="L156" s="786"/>
      <c r="M156" s="786"/>
      <c r="N156" s="786"/>
      <c r="O156" s="786"/>
      <c r="P156" s="786"/>
      <c r="Q156" s="786"/>
      <c r="R156" s="786"/>
      <c r="S156" s="786"/>
      <c r="T156" s="786"/>
      <c r="U156" s="786"/>
      <c r="V156" s="786"/>
      <c r="W156" s="786"/>
      <c r="X156" s="786"/>
      <c r="Y156" s="786"/>
      <c r="Z156" s="786"/>
      <c r="AA156" s="786"/>
      <c r="AB156" s="786"/>
      <c r="AC156" s="2146"/>
      <c r="AD156" s="786"/>
      <c r="AE156" s="786"/>
      <c r="AF156" s="786"/>
      <c r="AG156" s="786"/>
      <c r="AH156" s="786"/>
      <c r="AI156" s="786"/>
      <c r="AJ156" s="786"/>
      <c r="AK156" s="786"/>
      <c r="AL156" s="786"/>
      <c r="AM156" s="786"/>
    </row>
    <row r="157" spans="1:39">
      <c r="A157" s="786"/>
      <c r="B157" s="786"/>
      <c r="C157" s="786"/>
      <c r="D157" s="786"/>
      <c r="E157" s="786"/>
      <c r="F157" s="786"/>
      <c r="G157" s="786"/>
      <c r="H157" s="786"/>
      <c r="I157" s="786"/>
      <c r="J157" s="786"/>
      <c r="K157" s="786"/>
      <c r="L157" s="786"/>
      <c r="M157" s="786"/>
      <c r="N157" s="786"/>
      <c r="O157" s="786"/>
      <c r="P157" s="786"/>
      <c r="Q157" s="786"/>
      <c r="R157" s="786"/>
      <c r="S157" s="786"/>
      <c r="T157" s="786"/>
      <c r="U157" s="786"/>
      <c r="V157" s="786"/>
      <c r="W157" s="786"/>
      <c r="X157" s="786"/>
      <c r="Y157" s="786"/>
      <c r="Z157" s="786"/>
      <c r="AA157" s="786"/>
      <c r="AB157" s="786"/>
      <c r="AC157" s="2146"/>
      <c r="AD157" s="786"/>
      <c r="AE157" s="786"/>
      <c r="AF157" s="786"/>
      <c r="AG157" s="786"/>
      <c r="AH157" s="786"/>
      <c r="AI157" s="786"/>
      <c r="AJ157" s="786"/>
      <c r="AK157" s="786"/>
      <c r="AL157" s="786"/>
      <c r="AM157" s="786"/>
    </row>
    <row r="158" spans="1:39">
      <c r="A158" s="786"/>
      <c r="B158" s="786"/>
      <c r="C158" s="786"/>
      <c r="D158" s="786"/>
      <c r="E158" s="786"/>
      <c r="F158" s="786"/>
      <c r="G158" s="786"/>
      <c r="H158" s="786"/>
      <c r="I158" s="786"/>
      <c r="J158" s="786"/>
      <c r="K158" s="786"/>
      <c r="L158" s="786"/>
      <c r="M158" s="786"/>
      <c r="N158" s="786"/>
      <c r="O158" s="786"/>
      <c r="P158" s="786"/>
      <c r="Q158" s="786"/>
      <c r="R158" s="786"/>
      <c r="S158" s="786"/>
      <c r="T158" s="786"/>
      <c r="U158" s="786"/>
      <c r="V158" s="786"/>
      <c r="W158" s="786"/>
      <c r="X158" s="786"/>
      <c r="Y158" s="786"/>
      <c r="Z158" s="786"/>
      <c r="AA158" s="786"/>
      <c r="AB158" s="786"/>
      <c r="AC158" s="2146"/>
      <c r="AD158" s="786"/>
      <c r="AE158" s="786"/>
      <c r="AF158" s="786"/>
      <c r="AG158" s="786"/>
      <c r="AH158" s="786"/>
      <c r="AI158" s="786"/>
      <c r="AJ158" s="786"/>
      <c r="AK158" s="786"/>
      <c r="AL158" s="786"/>
      <c r="AM158" s="786"/>
    </row>
    <row r="159" spans="1:39">
      <c r="A159" s="786"/>
      <c r="B159" s="786"/>
      <c r="C159" s="786"/>
      <c r="D159" s="786"/>
      <c r="E159" s="786"/>
      <c r="F159" s="786"/>
      <c r="G159" s="786"/>
      <c r="H159" s="786"/>
      <c r="I159" s="786"/>
      <c r="J159" s="786"/>
      <c r="K159" s="786"/>
      <c r="L159" s="786"/>
      <c r="M159" s="786"/>
      <c r="N159" s="786"/>
      <c r="O159" s="786"/>
      <c r="P159" s="786"/>
      <c r="Q159" s="786"/>
      <c r="R159" s="786"/>
      <c r="S159" s="786"/>
      <c r="T159" s="786"/>
      <c r="U159" s="786"/>
      <c r="V159" s="786"/>
      <c r="W159" s="786"/>
      <c r="X159" s="786"/>
      <c r="Y159" s="786"/>
      <c r="Z159" s="786"/>
      <c r="AA159" s="786"/>
      <c r="AB159" s="786"/>
      <c r="AC159" s="2146"/>
      <c r="AD159" s="786"/>
      <c r="AE159" s="786"/>
      <c r="AF159" s="786"/>
      <c r="AG159" s="786"/>
      <c r="AH159" s="786"/>
      <c r="AI159" s="786"/>
      <c r="AJ159" s="786"/>
      <c r="AK159" s="786"/>
      <c r="AL159" s="786"/>
      <c r="AM159" s="786"/>
    </row>
    <row r="160" spans="1:39">
      <c r="A160" s="786"/>
      <c r="B160" s="786"/>
      <c r="C160" s="786"/>
      <c r="D160" s="786"/>
      <c r="E160" s="786"/>
      <c r="F160" s="786"/>
      <c r="G160" s="786"/>
      <c r="H160" s="786"/>
      <c r="I160" s="786"/>
      <c r="J160" s="786"/>
      <c r="K160" s="786"/>
      <c r="L160" s="786"/>
      <c r="M160" s="786"/>
      <c r="N160" s="786"/>
      <c r="O160" s="786"/>
      <c r="P160" s="786"/>
      <c r="Q160" s="786"/>
      <c r="R160" s="786"/>
      <c r="S160" s="786"/>
      <c r="T160" s="786"/>
      <c r="U160" s="786"/>
      <c r="V160" s="786"/>
      <c r="W160" s="786"/>
      <c r="X160" s="786"/>
      <c r="Y160" s="786"/>
      <c r="Z160" s="786"/>
      <c r="AA160" s="786"/>
      <c r="AB160" s="786"/>
      <c r="AC160" s="2146"/>
      <c r="AD160" s="786"/>
      <c r="AE160" s="786"/>
      <c r="AF160" s="786"/>
      <c r="AG160" s="786"/>
      <c r="AH160" s="786"/>
      <c r="AI160" s="786"/>
      <c r="AJ160" s="786"/>
      <c r="AK160" s="786"/>
      <c r="AL160" s="786"/>
      <c r="AM160" s="786"/>
    </row>
    <row r="161" spans="1:39">
      <c r="A161" s="786"/>
      <c r="B161" s="786"/>
      <c r="C161" s="786"/>
      <c r="D161" s="786"/>
      <c r="E161" s="786"/>
      <c r="F161" s="786"/>
      <c r="G161" s="786"/>
      <c r="H161" s="786"/>
      <c r="I161" s="786"/>
      <c r="J161" s="786"/>
      <c r="K161" s="786"/>
      <c r="L161" s="786"/>
      <c r="M161" s="786"/>
      <c r="N161" s="786"/>
      <c r="O161" s="786"/>
      <c r="P161" s="786"/>
      <c r="Q161" s="786"/>
      <c r="R161" s="786"/>
      <c r="S161" s="786"/>
      <c r="T161" s="786"/>
      <c r="U161" s="786"/>
      <c r="V161" s="786"/>
      <c r="W161" s="786"/>
      <c r="X161" s="786"/>
      <c r="Y161" s="786"/>
      <c r="Z161" s="786"/>
      <c r="AA161" s="786"/>
      <c r="AB161" s="786"/>
      <c r="AC161" s="2146"/>
      <c r="AD161" s="786"/>
      <c r="AE161" s="786"/>
      <c r="AF161" s="786"/>
      <c r="AG161" s="786"/>
      <c r="AH161" s="786"/>
      <c r="AI161" s="786"/>
      <c r="AJ161" s="786"/>
      <c r="AK161" s="786"/>
      <c r="AL161" s="786"/>
      <c r="AM161" s="786"/>
    </row>
    <row r="162" spans="1:39">
      <c r="A162" s="786"/>
      <c r="B162" s="786"/>
    </row>
  </sheetData>
  <sheetProtection sheet="1" formatColumns="0" formatRows="0"/>
  <mergeCells count="26">
    <mergeCell ref="AE3:BD3"/>
    <mergeCell ref="C3:AA3"/>
    <mergeCell ref="C8:K8"/>
    <mergeCell ref="AE8:AN8"/>
    <mergeCell ref="M8:O8"/>
    <mergeCell ref="Q8:S8"/>
    <mergeCell ref="U8:W8"/>
    <mergeCell ref="Y8:AA8"/>
    <mergeCell ref="A6:K6"/>
    <mergeCell ref="CL27:CL29"/>
    <mergeCell ref="CK27:CK29"/>
    <mergeCell ref="CJ27:CJ29"/>
    <mergeCell ref="AP8:AR8"/>
    <mergeCell ref="AT8:AV8"/>
    <mergeCell ref="AX8:AZ8"/>
    <mergeCell ref="BB8:BD8"/>
    <mergeCell ref="BX8:CD8"/>
    <mergeCell ref="BH8:BN8"/>
    <mergeCell ref="BP8:BV8"/>
    <mergeCell ref="C38:K38"/>
    <mergeCell ref="I27:I29"/>
    <mergeCell ref="H27:H29"/>
    <mergeCell ref="A30:C30"/>
    <mergeCell ref="A31:C31"/>
    <mergeCell ref="A32:C32"/>
    <mergeCell ref="A27:C29"/>
  </mergeCells>
  <phoneticPr fontId="9" type="noConversion"/>
  <conditionalFormatting sqref="K10:L13 P10:P13 K14:P14 BN10:BO23 I15:I23 BV10:BW23 CD10:CD23 AN10:AO23 E10:E23 G10:G23 K15:L23 P15:P23 T10:T23 X10:X23 AB10:AD23 AS10:AS23 AW10:AW23 BA10:BA23 BE10:BG23 AH10:AI23">
    <cfRule type="cellIs" dxfId="277" priority="118" stopIfTrue="1" operator="equal">
      <formula>0</formula>
    </cfRule>
  </conditionalFormatting>
  <conditionalFormatting sqref="BQ15:BQ22 BR16:BS22 BY15:BY22 BJ16:BK22 BZ16:CA22 BK11:BK13 AK11:AK14 BS11:BS13 BI23:BK23 BQ14:BS14 BY23:CA23 AJ10:AJ14 BM15:BM22 BI14:BK14 BY14:CA14 AM10:AM13 BI10:BJ13 BM10:BM13 BQ23:BS23 BU10:BU13 BQ10:BR13 BY10:BZ13 CC10:CC13 CA11:CA13 CC15:CC22 BU15:BU22 BI15:BI22 AM15:AM22 AJ16:AK23 AF10:AF23">
    <cfRule type="cellIs" dxfId="276" priority="119" stopIfTrue="1" operator="equal">
      <formula>0</formula>
    </cfRule>
  </conditionalFormatting>
  <conditionalFormatting sqref="I10:I13">
    <cfRule type="cellIs" dxfId="275" priority="120" stopIfTrue="1" operator="equal">
      <formula>0</formula>
    </cfRule>
    <cfRule type="expression" dxfId="274" priority="121" stopIfTrue="1">
      <formula>AND(H10=0,I10&gt;0)=TRUE</formula>
    </cfRule>
    <cfRule type="expression" dxfId="273" priority="122" stopIfTrue="1">
      <formula>AND(H20&gt;0,I10&gt;0)=TRUE</formula>
    </cfRule>
  </conditionalFormatting>
  <conditionalFormatting sqref="BX10:BX13 BX15:BX22 BP15:BP22">
    <cfRule type="expression" dxfId="272" priority="123" stopIfTrue="1">
      <formula>AND(BN10&lt;&gt;0,BP10="")</formula>
    </cfRule>
    <cfRule type="expression" dxfId="271" priority="124" stopIfTrue="1">
      <formula>OR(BN10=0,BN10="")</formula>
    </cfRule>
  </conditionalFormatting>
  <conditionalFormatting sqref="BX14 BX23">
    <cfRule type="expression" dxfId="270" priority="126" stopIfTrue="1">
      <formula>OR(BV14=0,BV14="")</formula>
    </cfRule>
  </conditionalFormatting>
  <conditionalFormatting sqref="E40:E41 K40:AB41 G40:G41 AD40:AD41">
    <cfRule type="cellIs" dxfId="269" priority="117" stopIfTrue="1" operator="equal">
      <formula>0</formula>
    </cfRule>
  </conditionalFormatting>
  <conditionalFormatting sqref="BP10:BP13">
    <cfRule type="expression" dxfId="268" priority="206" stopIfTrue="1">
      <formula>AND(BN10&lt;&gt;0,BP10="")</formula>
    </cfRule>
    <cfRule type="expression" dxfId="267" priority="207" stopIfTrue="1">
      <formula>OR(BN10=0,BN10="")</formula>
    </cfRule>
  </conditionalFormatting>
  <conditionalFormatting sqref="BP23 BP14">
    <cfRule type="expression" dxfId="266" priority="210" stopIfTrue="1">
      <formula>OR(BN14=0,BN14="")</formula>
    </cfRule>
  </conditionalFormatting>
  <conditionalFormatting sqref="BH10:BH13 BH15:BH22">
    <cfRule type="expression" dxfId="265" priority="282" stopIfTrue="1">
      <formula>AND(AN10&lt;&gt;0,BH10="")</formula>
    </cfRule>
    <cfRule type="expression" dxfId="264" priority="283" stopIfTrue="1">
      <formula>OR(AN10=0,AN10="")</formula>
    </cfRule>
  </conditionalFormatting>
  <conditionalFormatting sqref="BH23">
    <cfRule type="expression" dxfId="263" priority="286" stopIfTrue="1">
      <formula>OR(AN23=0,AN23="")</formula>
    </cfRule>
  </conditionalFormatting>
  <conditionalFormatting sqref="M10:N13">
    <cfRule type="cellIs" dxfId="262" priority="116" stopIfTrue="1" operator="equal">
      <formula>0</formula>
    </cfRule>
  </conditionalFormatting>
  <conditionalFormatting sqref="O10:O13">
    <cfRule type="cellIs" dxfId="261" priority="115" stopIfTrue="1" operator="equal">
      <formula>0</formula>
    </cfRule>
  </conditionalFormatting>
  <conditionalFormatting sqref="M15:M22">
    <cfRule type="cellIs" dxfId="260" priority="114" stopIfTrue="1" operator="equal">
      <formula>0</formula>
    </cfRule>
  </conditionalFormatting>
  <conditionalFormatting sqref="O15:O22">
    <cfRule type="cellIs" dxfId="259" priority="113" stopIfTrue="1" operator="equal">
      <formula>0</formula>
    </cfRule>
  </conditionalFormatting>
  <conditionalFormatting sqref="O23">
    <cfRule type="cellIs" dxfId="258" priority="103" stopIfTrue="1" operator="equal">
      <formula>0</formula>
    </cfRule>
  </conditionalFormatting>
  <conditionalFormatting sqref="M23:N23">
    <cfRule type="cellIs" dxfId="257" priority="104" stopIfTrue="1" operator="equal">
      <formula>0</formula>
    </cfRule>
  </conditionalFormatting>
  <conditionalFormatting sqref="Q14 S14">
    <cfRule type="cellIs" dxfId="256" priority="102" stopIfTrue="1" operator="equal">
      <formula>0</formula>
    </cfRule>
  </conditionalFormatting>
  <conditionalFormatting sqref="Q10:Q13">
    <cfRule type="cellIs" dxfId="255" priority="101" stopIfTrue="1" operator="equal">
      <formula>0</formula>
    </cfRule>
  </conditionalFormatting>
  <conditionalFormatting sqref="S10:S13">
    <cfRule type="cellIs" dxfId="254" priority="100" stopIfTrue="1" operator="equal">
      <formula>0</formula>
    </cfRule>
  </conditionalFormatting>
  <conditionalFormatting sqref="Q15:Q22">
    <cfRule type="cellIs" dxfId="253" priority="99" stopIfTrue="1" operator="equal">
      <formula>0</formula>
    </cfRule>
  </conditionalFormatting>
  <conditionalFormatting sqref="S15:S22">
    <cfRule type="cellIs" dxfId="252" priority="98" stopIfTrue="1" operator="equal">
      <formula>0</formula>
    </cfRule>
  </conditionalFormatting>
  <conditionalFormatting sqref="Y10:Y13">
    <cfRule type="cellIs" dxfId="251" priority="81" stopIfTrue="1" operator="equal">
      <formula>0</formula>
    </cfRule>
  </conditionalFormatting>
  <conditionalFormatting sqref="AA10:AA13">
    <cfRule type="cellIs" dxfId="250" priority="80" stopIfTrue="1" operator="equal">
      <formula>0</formula>
    </cfRule>
  </conditionalFormatting>
  <conditionalFormatting sqref="Y15:Y22">
    <cfRule type="cellIs" dxfId="249" priority="79" stopIfTrue="1" operator="equal">
      <formula>0</formula>
    </cfRule>
  </conditionalFormatting>
  <conditionalFormatting sqref="AA15:AA22">
    <cfRule type="cellIs" dxfId="248" priority="78" stopIfTrue="1" operator="equal">
      <formula>0</formula>
    </cfRule>
  </conditionalFormatting>
  <conditionalFormatting sqref="S23">
    <cfRule type="cellIs" dxfId="247" priority="90" stopIfTrue="1" operator="equal">
      <formula>0</formula>
    </cfRule>
  </conditionalFormatting>
  <conditionalFormatting sqref="Q23">
    <cfRule type="cellIs" dxfId="246" priority="91" stopIfTrue="1" operator="equal">
      <formula>0</formula>
    </cfRule>
  </conditionalFormatting>
  <conditionalFormatting sqref="U14 W14">
    <cfRule type="cellIs" dxfId="245" priority="89" stopIfTrue="1" operator="equal">
      <formula>0</formula>
    </cfRule>
  </conditionalFormatting>
  <conditionalFormatting sqref="U10:U13">
    <cfRule type="cellIs" dxfId="244" priority="88" stopIfTrue="1" operator="equal">
      <formula>0</formula>
    </cfRule>
  </conditionalFormatting>
  <conditionalFormatting sqref="W10:W13">
    <cfRule type="cellIs" dxfId="243" priority="87" stopIfTrue="1" operator="equal">
      <formula>0</formula>
    </cfRule>
  </conditionalFormatting>
  <conditionalFormatting sqref="U15:U22">
    <cfRule type="cellIs" dxfId="242" priority="86" stopIfTrue="1" operator="equal">
      <formula>0</formula>
    </cfRule>
  </conditionalFormatting>
  <conditionalFormatting sqref="W15:W22">
    <cfRule type="cellIs" dxfId="241" priority="85" stopIfTrue="1" operator="equal">
      <formula>0</formula>
    </cfRule>
  </conditionalFormatting>
  <conditionalFormatting sqref="W23">
    <cfRule type="cellIs" dxfId="240" priority="83" stopIfTrue="1" operator="equal">
      <formula>0</formula>
    </cfRule>
  </conditionalFormatting>
  <conditionalFormatting sqref="U23">
    <cfRule type="cellIs" dxfId="239" priority="84" stopIfTrue="1" operator="equal">
      <formula>0</formula>
    </cfRule>
  </conditionalFormatting>
  <conditionalFormatting sqref="Y14 AA14">
    <cfRule type="cellIs" dxfId="238" priority="82" stopIfTrue="1" operator="equal">
      <formula>0</formula>
    </cfRule>
  </conditionalFormatting>
  <conditionalFormatting sqref="AA23">
    <cfRule type="cellIs" dxfId="237" priority="76" stopIfTrue="1" operator="equal">
      <formula>0</formula>
    </cfRule>
  </conditionalFormatting>
  <conditionalFormatting sqref="Y23">
    <cfRule type="cellIs" dxfId="236" priority="77" stopIfTrue="1" operator="equal">
      <formula>0</formula>
    </cfRule>
  </conditionalFormatting>
  <conditionalFormatting sqref="BH14">
    <cfRule type="expression" dxfId="235" priority="291" stopIfTrue="1">
      <formula>OR(AN14=0,AN14="")</formula>
    </cfRule>
  </conditionalFormatting>
  <conditionalFormatting sqref="AP14 AR14">
    <cfRule type="cellIs" dxfId="234" priority="75" stopIfTrue="1" operator="equal">
      <formula>0</formula>
    </cfRule>
  </conditionalFormatting>
  <conditionalFormatting sqref="AP10:AP13">
    <cfRule type="cellIs" dxfId="233" priority="74" stopIfTrue="1" operator="equal">
      <formula>0</formula>
    </cfRule>
  </conditionalFormatting>
  <conditionalFormatting sqref="AR10:AR13">
    <cfRule type="cellIs" dxfId="232" priority="73" stopIfTrue="1" operator="equal">
      <formula>0</formula>
    </cfRule>
  </conditionalFormatting>
  <conditionalFormatting sqref="AP15:AP22">
    <cfRule type="cellIs" dxfId="231" priority="72" stopIfTrue="1" operator="equal">
      <formula>0</formula>
    </cfRule>
  </conditionalFormatting>
  <conditionalFormatting sqref="AR15:AR22">
    <cfRule type="cellIs" dxfId="230" priority="71" stopIfTrue="1" operator="equal">
      <formula>0</formula>
    </cfRule>
  </conditionalFormatting>
  <conditionalFormatting sqref="AV10:AV13">
    <cfRule type="cellIs" dxfId="229" priority="60" stopIfTrue="1" operator="equal">
      <formula>0</formula>
    </cfRule>
  </conditionalFormatting>
  <conditionalFormatting sqref="AV15:AV22">
    <cfRule type="cellIs" dxfId="228" priority="58" stopIfTrue="1" operator="equal">
      <formula>0</formula>
    </cfRule>
  </conditionalFormatting>
  <conditionalFormatting sqref="AX15:AX22">
    <cfRule type="cellIs" dxfId="227" priority="49" stopIfTrue="1" operator="equal">
      <formula>0</formula>
    </cfRule>
  </conditionalFormatting>
  <conditionalFormatting sqref="AR23">
    <cfRule type="cellIs" dxfId="226" priority="63" stopIfTrue="1" operator="equal">
      <formula>0</formula>
    </cfRule>
  </conditionalFormatting>
  <conditionalFormatting sqref="AP23">
    <cfRule type="cellIs" dxfId="225" priority="64" stopIfTrue="1" operator="equal">
      <formula>0</formula>
    </cfRule>
  </conditionalFormatting>
  <conditionalFormatting sqref="AT14 AV14">
    <cfRule type="cellIs" dxfId="224" priority="62" stopIfTrue="1" operator="equal">
      <formula>0</formula>
    </cfRule>
  </conditionalFormatting>
  <conditionalFormatting sqref="AT10:AT13">
    <cfRule type="cellIs" dxfId="223" priority="61" stopIfTrue="1" operator="equal">
      <formula>0</formula>
    </cfRule>
  </conditionalFormatting>
  <conditionalFormatting sqref="AT15:AT22">
    <cfRule type="cellIs" dxfId="222" priority="59" stopIfTrue="1" operator="equal">
      <formula>0</formula>
    </cfRule>
  </conditionalFormatting>
  <conditionalFormatting sqref="AZ10:AZ13">
    <cfRule type="cellIs" dxfId="221" priority="50" stopIfTrue="1" operator="equal">
      <formula>0</formula>
    </cfRule>
  </conditionalFormatting>
  <conditionalFormatting sqref="AZ15:AZ22">
    <cfRule type="cellIs" dxfId="220" priority="48" stopIfTrue="1" operator="equal">
      <formula>0</formula>
    </cfRule>
  </conditionalFormatting>
  <conditionalFormatting sqref="AV23">
    <cfRule type="cellIs" dxfId="219" priority="53" stopIfTrue="1" operator="equal">
      <formula>0</formula>
    </cfRule>
  </conditionalFormatting>
  <conditionalFormatting sqref="AT23">
    <cfRule type="cellIs" dxfId="218" priority="54" stopIfTrue="1" operator="equal">
      <formula>0</formula>
    </cfRule>
  </conditionalFormatting>
  <conditionalFormatting sqref="AX14 AZ14">
    <cfRule type="cellIs" dxfId="217" priority="52" stopIfTrue="1" operator="equal">
      <formula>0</formula>
    </cfRule>
  </conditionalFormatting>
  <conditionalFormatting sqref="AX10:AX13">
    <cfRule type="cellIs" dxfId="216" priority="51" stopIfTrue="1" operator="equal">
      <formula>0</formula>
    </cfRule>
  </conditionalFormatting>
  <conditionalFormatting sqref="AZ23">
    <cfRule type="cellIs" dxfId="215" priority="46" stopIfTrue="1" operator="equal">
      <formula>0</formula>
    </cfRule>
  </conditionalFormatting>
  <conditionalFormatting sqref="AX23">
    <cfRule type="cellIs" dxfId="214" priority="47" stopIfTrue="1" operator="equal">
      <formula>0</formula>
    </cfRule>
  </conditionalFormatting>
  <conditionalFormatting sqref="BB15:BB22">
    <cfRule type="cellIs" dxfId="213" priority="42" stopIfTrue="1" operator="equal">
      <formula>0</formula>
    </cfRule>
  </conditionalFormatting>
  <conditionalFormatting sqref="BD10:BD13">
    <cfRule type="cellIs" dxfId="212" priority="43" stopIfTrue="1" operator="equal">
      <formula>0</formula>
    </cfRule>
  </conditionalFormatting>
  <conditionalFormatting sqref="BD15:BD22">
    <cfRule type="cellIs" dxfId="211" priority="41" stopIfTrue="1" operator="equal">
      <formula>0</formula>
    </cfRule>
  </conditionalFormatting>
  <conditionalFormatting sqref="BB14 BD14">
    <cfRule type="cellIs" dxfId="210" priority="45" stopIfTrue="1" operator="equal">
      <formula>0</formula>
    </cfRule>
  </conditionalFormatting>
  <conditionalFormatting sqref="BB10:BB13">
    <cfRule type="cellIs" dxfId="209" priority="44" stopIfTrue="1" operator="equal">
      <formula>0</formula>
    </cfRule>
  </conditionalFormatting>
  <conditionalFormatting sqref="BD23">
    <cfRule type="cellIs" dxfId="208" priority="39" stopIfTrue="1" operator="equal">
      <formula>0</formula>
    </cfRule>
  </conditionalFormatting>
  <conditionalFormatting sqref="BB23">
    <cfRule type="cellIs" dxfId="207" priority="40" stopIfTrue="1" operator="equal">
      <formula>0</formula>
    </cfRule>
  </conditionalFormatting>
  <conditionalFormatting sqref="N16:N22">
    <cfRule type="cellIs" dxfId="206" priority="37" stopIfTrue="1" operator="equal">
      <formula>0</formula>
    </cfRule>
  </conditionalFormatting>
  <conditionalFormatting sqref="N15">
    <cfRule type="cellIs" dxfId="205" priority="38" stopIfTrue="1" operator="equal">
      <formula>0</formula>
    </cfRule>
  </conditionalFormatting>
  <conditionalFormatting sqref="R14">
    <cfRule type="cellIs" dxfId="204" priority="36" stopIfTrue="1" operator="equal">
      <formula>0</formula>
    </cfRule>
  </conditionalFormatting>
  <conditionalFormatting sqref="R10:R13">
    <cfRule type="cellIs" dxfId="203" priority="35" stopIfTrue="1" operator="equal">
      <formula>0</formula>
    </cfRule>
  </conditionalFormatting>
  <conditionalFormatting sqref="R23">
    <cfRule type="cellIs" dxfId="202" priority="34" stopIfTrue="1" operator="equal">
      <formula>0</formula>
    </cfRule>
  </conditionalFormatting>
  <conditionalFormatting sqref="R16:R22">
    <cfRule type="cellIs" dxfId="201" priority="32" stopIfTrue="1" operator="equal">
      <formula>0</formula>
    </cfRule>
  </conditionalFormatting>
  <conditionalFormatting sqref="R15">
    <cfRule type="cellIs" dxfId="200" priority="33" stopIfTrue="1" operator="equal">
      <formula>0</formula>
    </cfRule>
  </conditionalFormatting>
  <conditionalFormatting sqref="V14">
    <cfRule type="cellIs" dxfId="199" priority="31" stopIfTrue="1" operator="equal">
      <formula>0</formula>
    </cfRule>
  </conditionalFormatting>
  <conditionalFormatting sqref="V10:V13">
    <cfRule type="cellIs" dxfId="198" priority="30" stopIfTrue="1" operator="equal">
      <formula>0</formula>
    </cfRule>
  </conditionalFormatting>
  <conditionalFormatting sqref="V23">
    <cfRule type="cellIs" dxfId="197" priority="29" stopIfTrue="1" operator="equal">
      <formula>0</formula>
    </cfRule>
  </conditionalFormatting>
  <conditionalFormatting sqref="V16:V22">
    <cfRule type="cellIs" dxfId="196" priority="27" stopIfTrue="1" operator="equal">
      <formula>0</formula>
    </cfRule>
  </conditionalFormatting>
  <conditionalFormatting sqref="V15">
    <cfRule type="cellIs" dxfId="195" priority="28" stopIfTrue="1" operator="equal">
      <formula>0</formula>
    </cfRule>
  </conditionalFormatting>
  <conditionalFormatting sqref="Z16:Z22">
    <cfRule type="cellIs" dxfId="194" priority="22" stopIfTrue="1" operator="equal">
      <formula>0</formula>
    </cfRule>
  </conditionalFormatting>
  <conditionalFormatting sqref="Z14">
    <cfRule type="cellIs" dxfId="193" priority="26" stopIfTrue="1" operator="equal">
      <formula>0</formula>
    </cfRule>
  </conditionalFormatting>
  <conditionalFormatting sqref="Z10:Z13">
    <cfRule type="cellIs" dxfId="192" priority="25" stopIfTrue="1" operator="equal">
      <formula>0</formula>
    </cfRule>
  </conditionalFormatting>
  <conditionalFormatting sqref="Z23">
    <cfRule type="cellIs" dxfId="191" priority="24" stopIfTrue="1" operator="equal">
      <formula>0</formula>
    </cfRule>
  </conditionalFormatting>
  <conditionalFormatting sqref="Z15">
    <cfRule type="cellIs" dxfId="190" priority="23" stopIfTrue="1" operator="equal">
      <formula>0</formula>
    </cfRule>
  </conditionalFormatting>
  <conditionalFormatting sqref="AQ14">
    <cfRule type="cellIs" dxfId="189" priority="21" stopIfTrue="1" operator="equal">
      <formula>0</formula>
    </cfRule>
  </conditionalFormatting>
  <conditionalFormatting sqref="AQ10:AQ13">
    <cfRule type="cellIs" dxfId="188" priority="20" stopIfTrue="1" operator="equal">
      <formula>0</formula>
    </cfRule>
  </conditionalFormatting>
  <conditionalFormatting sqref="AQ23">
    <cfRule type="cellIs" dxfId="187" priority="19" stopIfTrue="1" operator="equal">
      <formula>0</formula>
    </cfRule>
  </conditionalFormatting>
  <conditionalFormatting sqref="BC23">
    <cfRule type="cellIs" dxfId="186" priority="3" stopIfTrue="1" operator="equal">
      <formula>0</formula>
    </cfRule>
  </conditionalFormatting>
  <conditionalFormatting sqref="AQ15:AQ22">
    <cfRule type="cellIs" dxfId="185" priority="14" stopIfTrue="1" operator="equal">
      <formula>0</formula>
    </cfRule>
  </conditionalFormatting>
  <conditionalFormatting sqref="AU14">
    <cfRule type="cellIs" dxfId="184" priority="13" stopIfTrue="1" operator="equal">
      <formula>0</formula>
    </cfRule>
  </conditionalFormatting>
  <conditionalFormatting sqref="AU10:AU13">
    <cfRule type="cellIs" dxfId="183" priority="12" stopIfTrue="1" operator="equal">
      <formula>0</formula>
    </cfRule>
  </conditionalFormatting>
  <conditionalFormatting sqref="AU23">
    <cfRule type="cellIs" dxfId="182" priority="11" stopIfTrue="1" operator="equal">
      <formula>0</formula>
    </cfRule>
  </conditionalFormatting>
  <conditionalFormatting sqref="AU15:AU22">
    <cfRule type="cellIs" dxfId="181" priority="10" stopIfTrue="1" operator="equal">
      <formula>0</formula>
    </cfRule>
  </conditionalFormatting>
  <conditionalFormatting sqref="AY14">
    <cfRule type="cellIs" dxfId="180" priority="9" stopIfTrue="1" operator="equal">
      <formula>0</formula>
    </cfRule>
  </conditionalFormatting>
  <conditionalFormatting sqref="AY10:AY13">
    <cfRule type="cellIs" dxfId="179" priority="8" stopIfTrue="1" operator="equal">
      <formula>0</formula>
    </cfRule>
  </conditionalFormatting>
  <conditionalFormatting sqref="AY23">
    <cfRule type="cellIs" dxfId="178" priority="7" stopIfTrue="1" operator="equal">
      <formula>0</formula>
    </cfRule>
  </conditionalFormatting>
  <conditionalFormatting sqref="AY15:AY22">
    <cfRule type="cellIs" dxfId="177" priority="6" stopIfTrue="1" operator="equal">
      <formula>0</formula>
    </cfRule>
  </conditionalFormatting>
  <conditionalFormatting sqref="BC14">
    <cfRule type="cellIs" dxfId="176" priority="5" stopIfTrue="1" operator="equal">
      <formula>0</formula>
    </cfRule>
  </conditionalFormatting>
  <conditionalFormatting sqref="BC10:BC13">
    <cfRule type="cellIs" dxfId="175" priority="4" stopIfTrue="1" operator="equal">
      <formula>0</formula>
    </cfRule>
  </conditionalFormatting>
  <conditionalFormatting sqref="BC15:BC22">
    <cfRule type="cellIs" dxfId="174" priority="2" stopIfTrue="1" operator="equal">
      <formula>0</formula>
    </cfRule>
  </conditionalFormatting>
  <conditionalFormatting sqref="AE10:AE13 AE15:AE22">
    <cfRule type="expression" dxfId="173" priority="303" stopIfTrue="1">
      <formula>AND(K10&lt;&gt;0,AE10="")</formula>
    </cfRule>
    <cfRule type="expression" dxfId="172" priority="304" stopIfTrue="1">
      <formula>OR(K10=0,K10="")</formula>
    </cfRule>
  </conditionalFormatting>
  <conditionalFormatting sqref="AE14 AE23">
    <cfRule type="expression" dxfId="171" priority="307" stopIfTrue="1">
      <formula>OR(K14=0,K14="")</formula>
    </cfRule>
  </conditionalFormatting>
  <conditionalFormatting sqref="I14">
    <cfRule type="expression" dxfId="170" priority="360" stopIfTrue="1">
      <formula>AND(#REF!&gt;0,I14&gt;0)=TRUE</formula>
    </cfRule>
  </conditionalFormatting>
  <dataValidations count="2">
    <dataValidation allowBlank="1" showInputMessage="1" sqref="CJ30:CJ32 CJ27 H27:I32 A1:B5 C49:AI65531 AD27:AD32 A30:B35 A50:B65531 A39:B43 AJ33:IX65531 AJ27:BO32 BR27:CI32 CK27:IX32 Q26:S26 U26:W26 X8:X26 Y26:AA26 AP26:AR26 AT26:AV26 AX26:AZ26 BB26:BD26 Q4:R5 Q8:R25 BB8:BC25 AX8:AY25 AZ9:AZ25 AP8:AQ25 AR9:AR25 AT8:AU25 AV9:AV25 Y8:Z25 U8:V25 W9:W25 S9:S25 BD9:BD25 AA9:AA25 T8:T26 P8:P26 L8 O9:O26 C1:AA2 M8:N26 M4:M5 C3:C5 C8:D8 C33:AD42 C9:L26 AE7:AM7 S4:AA6 N4:P6 D7:K7 AS8:AS26 AW8:AW26 BA8:BA26 AE8:AI42 AE3 D4:K5 AJ8:AO26 L4:L6 AE4:BC6 AE1:BD2 BD4:BD7 BE1:IX26 AB1:AD26 A9:B27"/>
    <dataValidation type="decimal" operator="greaterThanOrEqual" allowBlank="1" showInputMessage="1" error="Solo valores mayores o iguales a cero." sqref="A6 B7">
      <formula1>0</formula1>
    </dataValidation>
  </dataValidations>
  <printOptions horizontalCentered="1" verticalCentered="1"/>
  <pageMargins left="0.78740157480314965" right="0.78740157480314965" top="0.98425196850393704" bottom="0.98425196850393704" header="0" footer="0"/>
  <pageSetup paperSize="9" scale="40" orientation="landscape" horizontalDpi="4294967293" r:id="rId1"/>
  <headerFooter alignWithMargins="0">
    <oddFooter>&amp;A</oddFooter>
  </headerFooter>
  <colBreaks count="1" manualBreakCount="1">
    <brk id="28" max="32"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A1:AF80"/>
  <sheetViews>
    <sheetView showGridLines="0" zoomScale="60" zoomScaleNormal="60" zoomScaleSheetLayoutView="50" workbookViewId="0">
      <pane xSplit="1" ySplit="9" topLeftCell="B10" activePane="bottomRight" state="frozen"/>
      <selection activeCell="D8" sqref="D8"/>
      <selection pane="topRight" activeCell="D8" sqref="D8"/>
      <selection pane="bottomLeft" activeCell="D8" sqref="D8"/>
      <selection pane="bottomRight" activeCell="E37" sqref="E37"/>
    </sheetView>
  </sheetViews>
  <sheetFormatPr baseColWidth="10" defaultColWidth="11.1640625" defaultRowHeight="13.5"/>
  <cols>
    <col min="1" max="1" width="69.1640625" style="660" customWidth="1"/>
    <col min="2" max="2" width="2.33203125" style="668" customWidth="1"/>
    <col min="3" max="14" width="21" style="660" customWidth="1"/>
    <col min="15" max="15" width="21" style="665" customWidth="1"/>
    <col min="16" max="16" width="4" style="1081" customWidth="1"/>
    <col min="17" max="17" width="1.83203125" style="2214" customWidth="1"/>
    <col min="18" max="18" width="6.5" style="660" customWidth="1"/>
    <col min="19" max="19" width="15" style="660" customWidth="1"/>
    <col min="20" max="32" width="20.83203125" style="660" customWidth="1"/>
    <col min="33" max="33" width="11.1640625" style="660" customWidth="1"/>
    <col min="34" max="16384" width="11.1640625" style="660"/>
  </cols>
  <sheetData>
    <row r="1" spans="1:32" ht="15" customHeight="1">
      <c r="A1" s="664" t="str">
        <f>IF('1.Datos Básicos. Product-Serv'!B5=0,"",'1.Datos Básicos. Product-Serv'!B5)</f>
        <v/>
      </c>
      <c r="B1" s="2175"/>
      <c r="F1" s="665"/>
      <c r="G1" s="665"/>
      <c r="M1" s="666"/>
    </row>
    <row r="2" spans="1:32" ht="15" customHeight="1">
      <c r="A2" s="664"/>
      <c r="B2" s="2175"/>
      <c r="F2" s="665"/>
      <c r="G2" s="665"/>
      <c r="M2" s="666"/>
    </row>
    <row r="3" spans="1:32" ht="28.5" customHeight="1">
      <c r="A3" s="670"/>
      <c r="B3" s="3603" t="s">
        <v>676</v>
      </c>
      <c r="C3" s="3347"/>
      <c r="D3" s="3347"/>
      <c r="E3" s="3347"/>
      <c r="F3" s="3347"/>
      <c r="G3" s="3347"/>
      <c r="H3" s="3347"/>
      <c r="I3" s="3347"/>
      <c r="J3" s="3347"/>
      <c r="K3" s="3347"/>
      <c r="L3" s="3347"/>
      <c r="M3" s="3347"/>
      <c r="N3" s="3347"/>
      <c r="T3" s="3603" t="s">
        <v>676</v>
      </c>
      <c r="U3" s="3351"/>
      <c r="V3" s="3351"/>
      <c r="W3" s="3351"/>
      <c r="X3" s="3351"/>
      <c r="Y3" s="3352"/>
      <c r="Z3" s="3352"/>
      <c r="AA3" s="3352"/>
      <c r="AB3" s="3352"/>
      <c r="AC3" s="3352"/>
      <c r="AD3" s="3352"/>
      <c r="AE3" s="3352"/>
    </row>
    <row r="4" spans="1:32" ht="29.25" customHeight="1">
      <c r="A4" s="670"/>
      <c r="B4" s="3350" t="s">
        <v>666</v>
      </c>
      <c r="C4" s="3347"/>
      <c r="D4" s="3347"/>
      <c r="E4" s="3347"/>
      <c r="F4" s="3347"/>
      <c r="G4" s="3347"/>
      <c r="H4" s="3347"/>
      <c r="I4" s="3347"/>
      <c r="J4" s="3347"/>
      <c r="K4" s="3347"/>
      <c r="L4" s="3347"/>
      <c r="M4" s="3347"/>
      <c r="N4" s="3347"/>
      <c r="T4" s="3350" t="s">
        <v>666</v>
      </c>
      <c r="U4" s="3351"/>
      <c r="V4" s="3351"/>
      <c r="W4" s="3351"/>
      <c r="X4" s="3351"/>
      <c r="Y4" s="3352"/>
      <c r="Z4" s="3352"/>
      <c r="AA4" s="3352"/>
      <c r="AB4" s="3352"/>
      <c r="AC4" s="3352"/>
      <c r="AD4" s="3352"/>
      <c r="AE4" s="3352"/>
    </row>
    <row r="5" spans="1:32" ht="23.25" customHeight="1">
      <c r="A5" s="1263"/>
      <c r="B5" s="1263"/>
      <c r="C5" s="667"/>
      <c r="F5" s="665"/>
      <c r="H5" s="2248" t="str">
        <f>"1º Ejerc. "&amp;'1.Datos Básicos. Product-Serv'!B11</f>
        <v>1º Ejerc. 0</v>
      </c>
      <c r="I5" s="669"/>
      <c r="M5" s="669"/>
      <c r="Y5" s="2248" t="str">
        <f>"2º Ejerc. "&amp;'1.Datos Básicos. Product-Serv'!E11</f>
        <v>2º Ejerc. 1</v>
      </c>
    </row>
    <row r="6" spans="1:32" ht="12.75" customHeight="1" thickBot="1">
      <c r="A6" s="1263"/>
      <c r="B6" s="1263"/>
      <c r="C6" s="667"/>
      <c r="F6" s="665"/>
      <c r="H6" s="2183"/>
      <c r="I6" s="669"/>
      <c r="J6" s="668"/>
      <c r="M6" s="669"/>
      <c r="X6" s="1264"/>
    </row>
    <row r="7" spans="1:32" s="671" customFormat="1" ht="26.25" customHeight="1" thickTop="1" thickBot="1">
      <c r="A7" s="2254" t="s">
        <v>667</v>
      </c>
      <c r="B7" s="2176"/>
      <c r="C7" s="2047" t="s">
        <v>668</v>
      </c>
      <c r="D7" s="672"/>
      <c r="O7" s="673"/>
      <c r="P7" s="1129"/>
      <c r="Q7" s="2215"/>
    </row>
    <row r="8" spans="1:32" s="671" customFormat="1" ht="9" customHeight="1" thickTop="1" thickBot="1">
      <c r="B8" s="674"/>
      <c r="C8" s="2047"/>
      <c r="D8" s="672"/>
      <c r="E8" s="675"/>
      <c r="O8" s="673"/>
      <c r="P8" s="1129"/>
      <c r="Q8" s="2215"/>
      <c r="T8" s="674"/>
      <c r="U8" s="674"/>
      <c r="V8" s="674"/>
      <c r="W8" s="674"/>
      <c r="X8" s="674"/>
      <c r="Y8" s="674"/>
      <c r="Z8" s="674"/>
      <c r="AA8" s="674"/>
      <c r="AB8" s="674"/>
      <c r="AC8" s="674"/>
      <c r="AD8" s="674"/>
      <c r="AE8" s="674"/>
    </row>
    <row r="9" spans="1:32" s="657" customFormat="1" ht="23.25" customHeight="1" thickTop="1" thickBot="1">
      <c r="A9" s="1926" t="s">
        <v>38</v>
      </c>
      <c r="B9" s="2177"/>
      <c r="C9" s="2288" t="str">
        <f>'2.Ventas y Cobros (Ej 1º,2º)'!D8</f>
        <v>Enero</v>
      </c>
      <c r="D9" s="2738" t="str">
        <f>'2.Ventas y Cobros (Ej 1º,2º)'!E8</f>
        <v>Febrero</v>
      </c>
      <c r="E9" s="2738" t="str">
        <f>'2.Ventas y Cobros (Ej 1º,2º)'!F8</f>
        <v>Marzo</v>
      </c>
      <c r="F9" s="2738" t="str">
        <f>'2.Ventas y Cobros (Ej 1º,2º)'!G8</f>
        <v>Abril</v>
      </c>
      <c r="G9" s="2738" t="str">
        <f>'2.Ventas y Cobros (Ej 1º,2º)'!H8</f>
        <v>Mayo</v>
      </c>
      <c r="H9" s="2738" t="str">
        <f>'2.Ventas y Cobros (Ej 1º,2º)'!I8</f>
        <v>Junio</v>
      </c>
      <c r="I9" s="2738" t="str">
        <f>'2.Ventas y Cobros (Ej 1º,2º)'!J8</f>
        <v>Julio</v>
      </c>
      <c r="J9" s="2738" t="str">
        <f>'2.Ventas y Cobros (Ej 1º,2º)'!K8</f>
        <v>Agosto</v>
      </c>
      <c r="K9" s="2738" t="str">
        <f>'2.Ventas y Cobros (Ej 1º,2º)'!L8</f>
        <v>Septiembre</v>
      </c>
      <c r="L9" s="2738" t="str">
        <f>'2.Ventas y Cobros (Ej 1º,2º)'!M8</f>
        <v>Octubre</v>
      </c>
      <c r="M9" s="2738" t="str">
        <f>'2.Ventas y Cobros (Ej 1º,2º)'!N8</f>
        <v>Noviembre</v>
      </c>
      <c r="N9" s="2287" t="str">
        <f>'2.Ventas y Cobros (Ej 1º,2º)'!O8</f>
        <v>Diciembre</v>
      </c>
      <c r="O9" s="1808" t="s">
        <v>7</v>
      </c>
      <c r="P9" s="1516"/>
      <c r="Q9" s="2216"/>
      <c r="T9" s="2286" t="str">
        <f>'2.Ventas y Cobros (Ej 1º,2º)'!W8</f>
        <v>Enero</v>
      </c>
      <c r="U9" s="2738" t="str">
        <f>'2.Ventas y Cobros (Ej 1º,2º)'!X8</f>
        <v>Febrero</v>
      </c>
      <c r="V9" s="2738" t="str">
        <f>'2.Ventas y Cobros (Ej 1º,2º)'!Y8</f>
        <v>Marzo</v>
      </c>
      <c r="W9" s="2738" t="str">
        <f>'2.Ventas y Cobros (Ej 1º,2º)'!Z8</f>
        <v>Abril</v>
      </c>
      <c r="X9" s="2738" t="str">
        <f>'2.Ventas y Cobros (Ej 1º,2º)'!AA8</f>
        <v>Mayo</v>
      </c>
      <c r="Y9" s="2738" t="str">
        <f>'2.Ventas y Cobros (Ej 1º,2º)'!AB8</f>
        <v>Junio</v>
      </c>
      <c r="Z9" s="2738" t="str">
        <f>'2.Ventas y Cobros (Ej 1º,2º)'!AC8</f>
        <v>Julio</v>
      </c>
      <c r="AA9" s="2738" t="str">
        <f>'2.Ventas y Cobros (Ej 1º,2º)'!AD8</f>
        <v>Agosto</v>
      </c>
      <c r="AB9" s="2738" t="str">
        <f>'2.Ventas y Cobros (Ej 1º,2º)'!AE8</f>
        <v>Septiembre</v>
      </c>
      <c r="AC9" s="2738" t="str">
        <f>'2.Ventas y Cobros (Ej 1º,2º)'!AF8</f>
        <v>Octubre</v>
      </c>
      <c r="AD9" s="2738" t="str">
        <f>'2.Ventas y Cobros (Ej 1º,2º)'!AG8</f>
        <v>Noviembre</v>
      </c>
      <c r="AE9" s="2287" t="str">
        <f>'2.Ventas y Cobros (Ej 1º,2º)'!AH8</f>
        <v>Diciembre</v>
      </c>
      <c r="AF9" s="1808" t="s">
        <v>7</v>
      </c>
    </row>
    <row r="10" spans="1:32" s="673" customFormat="1" ht="23.25" customHeight="1">
      <c r="A10" s="2201" t="s">
        <v>108</v>
      </c>
      <c r="B10" s="2178"/>
      <c r="C10" s="2255">
        <f>'2.Ventas y Cobros (Ej 1º,2º)'!D25</f>
        <v>0</v>
      </c>
      <c r="D10" s="2790">
        <f>'2.Ventas y Cobros (Ej 1º,2º)'!E25</f>
        <v>0</v>
      </c>
      <c r="E10" s="2790">
        <f>'2.Ventas y Cobros (Ej 1º,2º)'!F25</f>
        <v>0</v>
      </c>
      <c r="F10" s="2790">
        <f>'2.Ventas y Cobros (Ej 1º,2º)'!G25</f>
        <v>0</v>
      </c>
      <c r="G10" s="2790">
        <f>'2.Ventas y Cobros (Ej 1º,2º)'!H25</f>
        <v>0</v>
      </c>
      <c r="H10" s="2790">
        <f>'2.Ventas y Cobros (Ej 1º,2º)'!I25</f>
        <v>0</v>
      </c>
      <c r="I10" s="2790">
        <f>'2.Ventas y Cobros (Ej 1º,2º)'!J25</f>
        <v>0</v>
      </c>
      <c r="J10" s="2790">
        <f>'2.Ventas y Cobros (Ej 1º,2º)'!K25</f>
        <v>0</v>
      </c>
      <c r="K10" s="2790">
        <f>'2.Ventas y Cobros (Ej 1º,2º)'!L25</f>
        <v>0</v>
      </c>
      <c r="L10" s="2790">
        <f>'2.Ventas y Cobros (Ej 1º,2º)'!M25</f>
        <v>0</v>
      </c>
      <c r="M10" s="2790">
        <f>'2.Ventas y Cobros (Ej 1º,2º)'!N25</f>
        <v>0</v>
      </c>
      <c r="N10" s="2264">
        <f>'2.Ventas y Cobros (Ej 1º,2º)'!O25</f>
        <v>0</v>
      </c>
      <c r="O10" s="2188">
        <f>SUM(C10:N10)</f>
        <v>0</v>
      </c>
      <c r="P10" s="1013"/>
      <c r="Q10" s="2217"/>
      <c r="S10" s="1129"/>
      <c r="T10" s="2275">
        <f>'2.Ventas y Cobros (Ej 1º,2º)'!W25</f>
        <v>0</v>
      </c>
      <c r="U10" s="2790">
        <f>'2.Ventas y Cobros (Ej 1º,2º)'!X25</f>
        <v>0</v>
      </c>
      <c r="V10" s="2790">
        <f>'2.Ventas y Cobros (Ej 1º,2º)'!Y25</f>
        <v>0</v>
      </c>
      <c r="W10" s="2790">
        <f>'2.Ventas y Cobros (Ej 1º,2º)'!Z25</f>
        <v>0</v>
      </c>
      <c r="X10" s="2790">
        <f>'2.Ventas y Cobros (Ej 1º,2º)'!AA25</f>
        <v>0</v>
      </c>
      <c r="Y10" s="2790">
        <f>'2.Ventas y Cobros (Ej 1º,2º)'!AB25</f>
        <v>0</v>
      </c>
      <c r="Z10" s="2790">
        <f>'2.Ventas y Cobros (Ej 1º,2º)'!AC25</f>
        <v>0</v>
      </c>
      <c r="AA10" s="2790">
        <f>'2.Ventas y Cobros (Ej 1º,2º)'!AD25</f>
        <v>0</v>
      </c>
      <c r="AB10" s="2790">
        <f>'2.Ventas y Cobros (Ej 1º,2º)'!AE25</f>
        <v>0</v>
      </c>
      <c r="AC10" s="2790">
        <f>'2.Ventas y Cobros (Ej 1º,2º)'!AF25</f>
        <v>0</v>
      </c>
      <c r="AD10" s="2790">
        <f>'2.Ventas y Cobros (Ej 1º,2º)'!AG25</f>
        <v>0</v>
      </c>
      <c r="AE10" s="2264">
        <f>'2.Ventas y Cobros (Ej 1º,2º)'!AH25</f>
        <v>0</v>
      </c>
      <c r="AF10" s="2188">
        <f t="shared" ref="AF10:AF22" si="0">SUM(T10:AE10)</f>
        <v>0</v>
      </c>
    </row>
    <row r="11" spans="1:32" s="673" customFormat="1" ht="23.25" hidden="1" customHeight="1">
      <c r="A11" s="1385" t="s">
        <v>382</v>
      </c>
      <c r="B11" s="2172"/>
      <c r="C11" s="2256"/>
      <c r="D11" s="2791"/>
      <c r="E11" s="2791"/>
      <c r="F11" s="2791"/>
      <c r="G11" s="2791"/>
      <c r="H11" s="2791"/>
      <c r="I11" s="2791"/>
      <c r="J11" s="2791"/>
      <c r="K11" s="2791"/>
      <c r="L11" s="2791"/>
      <c r="M11" s="2791"/>
      <c r="N11" s="2265">
        <f>K75+K77</f>
        <v>0</v>
      </c>
      <c r="O11" s="677">
        <f>SUM(C11:N11)</f>
        <v>0</v>
      </c>
      <c r="P11" s="2213"/>
      <c r="Q11" s="2218"/>
      <c r="R11" s="674"/>
      <c r="S11" s="2043"/>
      <c r="T11" s="2276"/>
      <c r="U11" s="2791"/>
      <c r="V11" s="2791"/>
      <c r="W11" s="2791"/>
      <c r="X11" s="2791"/>
      <c r="Y11" s="2791"/>
      <c r="Z11" s="2791"/>
      <c r="AA11" s="2791"/>
      <c r="AB11" s="2791"/>
      <c r="AC11" s="2791"/>
      <c r="AD11" s="2791"/>
      <c r="AE11" s="2265">
        <f>AB75+AB77</f>
        <v>0</v>
      </c>
      <c r="AF11" s="677">
        <f t="shared" si="0"/>
        <v>0</v>
      </c>
    </row>
    <row r="12" spans="1:32" s="671" customFormat="1" ht="23.25" customHeight="1">
      <c r="A12" s="678" t="s">
        <v>109</v>
      </c>
      <c r="B12" s="2173"/>
      <c r="C12" s="2257">
        <f>'3.Costes D.V. y Pagos (1º,2º)'!D41</f>
        <v>0</v>
      </c>
      <c r="D12" s="2792">
        <f>'3.Costes D.V. y Pagos (1º,2º)'!E41</f>
        <v>0</v>
      </c>
      <c r="E12" s="2792">
        <f>'3.Costes D.V. y Pagos (1º,2º)'!F41</f>
        <v>0</v>
      </c>
      <c r="F12" s="2792">
        <f>'3.Costes D.V. y Pagos (1º,2º)'!G41</f>
        <v>0</v>
      </c>
      <c r="G12" s="2792">
        <f>'3.Costes D.V. y Pagos (1º,2º)'!H41</f>
        <v>0</v>
      </c>
      <c r="H12" s="2792">
        <f>'3.Costes D.V. y Pagos (1º,2º)'!I41</f>
        <v>0</v>
      </c>
      <c r="I12" s="2792">
        <f>'3.Costes D.V. y Pagos (1º,2º)'!J41</f>
        <v>0</v>
      </c>
      <c r="J12" s="2792">
        <f>'3.Costes D.V. y Pagos (1º,2º)'!K41</f>
        <v>0</v>
      </c>
      <c r="K12" s="2792">
        <f>'3.Costes D.V. y Pagos (1º,2º)'!L41</f>
        <v>0</v>
      </c>
      <c r="L12" s="2792">
        <f>'3.Costes D.V. y Pagos (1º,2º)'!M41</f>
        <v>0</v>
      </c>
      <c r="M12" s="2792">
        <f>'3.Costes D.V. y Pagos (1º,2º)'!N41</f>
        <v>0</v>
      </c>
      <c r="N12" s="2266">
        <f>'3.Costes D.V. y Pagos (1º,2º)'!O41</f>
        <v>0</v>
      </c>
      <c r="O12" s="676">
        <f>SUM(C12:N12)</f>
        <v>0</v>
      </c>
      <c r="P12" s="1013"/>
      <c r="Q12" s="2217"/>
      <c r="S12" s="674"/>
      <c r="T12" s="2277">
        <f>'3.Costes D.V. y Pagos (1º,2º)'!Y41</f>
        <v>0</v>
      </c>
      <c r="U12" s="2792">
        <f>'3.Costes D.V. y Pagos (1º,2º)'!Z41</f>
        <v>0</v>
      </c>
      <c r="V12" s="2792">
        <f>'3.Costes D.V. y Pagos (1º,2º)'!AA41</f>
        <v>0</v>
      </c>
      <c r="W12" s="2792">
        <f>'3.Costes D.V. y Pagos (1º,2º)'!AB41</f>
        <v>0</v>
      </c>
      <c r="X12" s="2792">
        <f>'3.Costes D.V. y Pagos (1º,2º)'!AC41</f>
        <v>0</v>
      </c>
      <c r="Y12" s="2792">
        <f>'3.Costes D.V. y Pagos (1º,2º)'!AD41</f>
        <v>0</v>
      </c>
      <c r="Z12" s="2792">
        <f>'3.Costes D.V. y Pagos (1º,2º)'!AE41</f>
        <v>0</v>
      </c>
      <c r="AA12" s="2792">
        <f>'3.Costes D.V. y Pagos (1º,2º)'!AF41</f>
        <v>0</v>
      </c>
      <c r="AB12" s="2792">
        <f>'3.Costes D.V. y Pagos (1º,2º)'!AG41</f>
        <v>0</v>
      </c>
      <c r="AC12" s="2792">
        <f>'3.Costes D.V. y Pagos (1º,2º)'!AH41</f>
        <v>0</v>
      </c>
      <c r="AD12" s="2792">
        <f>'3.Costes D.V. y Pagos (1º,2º)'!AI41</f>
        <v>0</v>
      </c>
      <c r="AE12" s="2266">
        <f>'3.Costes D.V. y Pagos (1º,2º)'!AJ41</f>
        <v>0</v>
      </c>
      <c r="AF12" s="676">
        <f t="shared" si="0"/>
        <v>0</v>
      </c>
    </row>
    <row r="13" spans="1:32" s="673" customFormat="1" ht="23.25" customHeight="1" thickBot="1">
      <c r="A13" s="2200" t="s">
        <v>29</v>
      </c>
      <c r="B13" s="2178"/>
      <c r="C13" s="2255">
        <f>(C10+C11)-C12</f>
        <v>0</v>
      </c>
      <c r="D13" s="2793">
        <f t="shared" ref="D13:N13" si="1">(D10+D11)-D12</f>
        <v>0</v>
      </c>
      <c r="E13" s="2793">
        <f t="shared" si="1"/>
        <v>0</v>
      </c>
      <c r="F13" s="2793">
        <f t="shared" si="1"/>
        <v>0</v>
      </c>
      <c r="G13" s="2793">
        <f t="shared" si="1"/>
        <v>0</v>
      </c>
      <c r="H13" s="2793">
        <f t="shared" si="1"/>
        <v>0</v>
      </c>
      <c r="I13" s="2793">
        <f t="shared" si="1"/>
        <v>0</v>
      </c>
      <c r="J13" s="2793">
        <f t="shared" si="1"/>
        <v>0</v>
      </c>
      <c r="K13" s="2793">
        <f t="shared" si="1"/>
        <v>0</v>
      </c>
      <c r="L13" s="2793">
        <f t="shared" si="1"/>
        <v>0</v>
      </c>
      <c r="M13" s="2793">
        <f t="shared" si="1"/>
        <v>0</v>
      </c>
      <c r="N13" s="2264">
        <f t="shared" si="1"/>
        <v>0</v>
      </c>
      <c r="O13" s="2188">
        <f t="shared" ref="O13:O40" si="2">SUM(C13:N13)</f>
        <v>0</v>
      </c>
      <c r="P13" s="1013"/>
      <c r="Q13" s="2217"/>
      <c r="S13" s="1129"/>
      <c r="T13" s="2275">
        <f>(T10+T11)-T12</f>
        <v>0</v>
      </c>
      <c r="U13" s="2793">
        <f t="shared" ref="U13:AE13" si="3">(U10+U11)-U12</f>
        <v>0</v>
      </c>
      <c r="V13" s="2793">
        <f t="shared" si="3"/>
        <v>0</v>
      </c>
      <c r="W13" s="2793">
        <f t="shared" si="3"/>
        <v>0</v>
      </c>
      <c r="X13" s="2793">
        <f t="shared" si="3"/>
        <v>0</v>
      </c>
      <c r="Y13" s="2793">
        <f t="shared" si="3"/>
        <v>0</v>
      </c>
      <c r="Z13" s="2793">
        <f t="shared" si="3"/>
        <v>0</v>
      </c>
      <c r="AA13" s="2793">
        <f t="shared" si="3"/>
        <v>0</v>
      </c>
      <c r="AB13" s="2793">
        <f t="shared" si="3"/>
        <v>0</v>
      </c>
      <c r="AC13" s="2793">
        <f t="shared" si="3"/>
        <v>0</v>
      </c>
      <c r="AD13" s="2793">
        <f t="shared" si="3"/>
        <v>0</v>
      </c>
      <c r="AE13" s="2264">
        <f t="shared" si="3"/>
        <v>0</v>
      </c>
      <c r="AF13" s="2188">
        <f t="shared" si="0"/>
        <v>0</v>
      </c>
    </row>
    <row r="14" spans="1:32" s="671" customFormat="1" ht="23.25" customHeight="1" thickTop="1">
      <c r="A14" s="679" t="s">
        <v>273</v>
      </c>
      <c r="B14" s="2173"/>
      <c r="C14" s="2257">
        <f>('5. Costes RRHH (Ej 1º,2º)'!$M$14)/3</f>
        <v>0</v>
      </c>
      <c r="D14" s="2792">
        <f>('5. Costes RRHH (Ej 1º,2º)'!$M$14)/3</f>
        <v>0</v>
      </c>
      <c r="E14" s="2792">
        <f>('5. Costes RRHH (Ej 1º,2º)'!$M$14)/3</f>
        <v>0</v>
      </c>
      <c r="F14" s="2792">
        <f>('5. Costes RRHH (Ej 1º,2º)'!$Q$14)/3</f>
        <v>0</v>
      </c>
      <c r="G14" s="2792">
        <f>('5. Costes RRHH (Ej 1º,2º)'!$Q$14)/3</f>
        <v>0</v>
      </c>
      <c r="H14" s="2792">
        <f>('5. Costes RRHH (Ej 1º,2º)'!$Q$14)/3</f>
        <v>0</v>
      </c>
      <c r="I14" s="2792">
        <f>('5. Costes RRHH (Ej 1º,2º)'!$U$14)/3</f>
        <v>0</v>
      </c>
      <c r="J14" s="2792">
        <f>('5. Costes RRHH (Ej 1º,2º)'!$U$14)/3</f>
        <v>0</v>
      </c>
      <c r="K14" s="2792">
        <f>('5. Costes RRHH (Ej 1º,2º)'!$U$14)/3</f>
        <v>0</v>
      </c>
      <c r="L14" s="2792">
        <f>('5. Costes RRHH (Ej 1º,2º)'!$Y$14)/3</f>
        <v>0</v>
      </c>
      <c r="M14" s="2792">
        <f>('5. Costes RRHH (Ej 1º,2º)'!$Y$14)/3</f>
        <v>0</v>
      </c>
      <c r="N14" s="2266">
        <f>('5. Costes RRHH (Ej 1º,2º)'!$Y$14)/3</f>
        <v>0</v>
      </c>
      <c r="O14" s="676">
        <f>SUM(C14:N14)</f>
        <v>0</v>
      </c>
      <c r="P14" s="1013"/>
      <c r="Q14" s="2217"/>
      <c r="R14" s="674"/>
      <c r="S14" s="3616" t="s">
        <v>669</v>
      </c>
      <c r="T14" s="2277">
        <f>('5. Costes RRHH (Ej 1º,2º)'!$AP$14)/3</f>
        <v>0</v>
      </c>
      <c r="U14" s="2792">
        <f>('5. Costes RRHH (Ej 1º,2º)'!$AP$14)/3</f>
        <v>0</v>
      </c>
      <c r="V14" s="2792">
        <f>('5. Costes RRHH (Ej 1º,2º)'!$AP$14)/3</f>
        <v>0</v>
      </c>
      <c r="W14" s="2792">
        <f>('5. Costes RRHH (Ej 1º,2º)'!$AT$14)/3</f>
        <v>0</v>
      </c>
      <c r="X14" s="2792">
        <f>('5. Costes RRHH (Ej 1º,2º)'!$AT$14)/3</f>
        <v>0</v>
      </c>
      <c r="Y14" s="2792">
        <f>('5. Costes RRHH (Ej 1º,2º)'!$AT$14)/3</f>
        <v>0</v>
      </c>
      <c r="Z14" s="2792">
        <f>('5. Costes RRHH (Ej 1º,2º)'!$AX$14)/3</f>
        <v>0</v>
      </c>
      <c r="AA14" s="2792">
        <f>('5. Costes RRHH (Ej 1º,2º)'!$AX$14)/3</f>
        <v>0</v>
      </c>
      <c r="AB14" s="2792">
        <f>('5. Costes RRHH (Ej 1º,2º)'!$AX$14)/3</f>
        <v>0</v>
      </c>
      <c r="AC14" s="2792">
        <f>('5. Costes RRHH (Ej 1º,2º)'!$BB$14)/3</f>
        <v>0</v>
      </c>
      <c r="AD14" s="2792">
        <f>('5. Costes RRHH (Ej 1º,2º)'!$BB$14)/3</f>
        <v>0</v>
      </c>
      <c r="AE14" s="2266">
        <f>('5. Costes RRHH (Ej 1º,2º)'!$BB$14)/3</f>
        <v>0</v>
      </c>
      <c r="AF14" s="676">
        <f t="shared" si="0"/>
        <v>0</v>
      </c>
    </row>
    <row r="15" spans="1:32" s="671" customFormat="1" ht="23.25" customHeight="1">
      <c r="A15" s="2352" t="s">
        <v>272</v>
      </c>
      <c r="B15" s="2173"/>
      <c r="C15" s="2257">
        <f>('5. Costes RRHH (Ej 1º,2º)'!$M$23)/3</f>
        <v>0</v>
      </c>
      <c r="D15" s="2792">
        <f>('5. Costes RRHH (Ej 1º,2º)'!$M$23)/3</f>
        <v>0</v>
      </c>
      <c r="E15" s="2792">
        <f>('5. Costes RRHH (Ej 1º,2º)'!$M$23)/3</f>
        <v>0</v>
      </c>
      <c r="F15" s="2792">
        <f>('5. Costes RRHH (Ej 1º,2º)'!$Q$23)/3</f>
        <v>0</v>
      </c>
      <c r="G15" s="2792">
        <f>('5. Costes RRHH (Ej 1º,2º)'!$Q$23)/3</f>
        <v>0</v>
      </c>
      <c r="H15" s="2792">
        <f>('5. Costes RRHH (Ej 1º,2º)'!$Q$23)/3</f>
        <v>0</v>
      </c>
      <c r="I15" s="2792">
        <f>('5. Costes RRHH (Ej 1º,2º)'!$U$23)/3</f>
        <v>0</v>
      </c>
      <c r="J15" s="2792">
        <f>('5. Costes RRHH (Ej 1º,2º)'!$U$23)/3</f>
        <v>0</v>
      </c>
      <c r="K15" s="2792">
        <f>('5. Costes RRHH (Ej 1º,2º)'!$U$23)/3</f>
        <v>0</v>
      </c>
      <c r="L15" s="2792">
        <f>('5. Costes RRHH (Ej 1º,2º)'!$Y$23)/3</f>
        <v>0</v>
      </c>
      <c r="M15" s="2792">
        <f>('5. Costes RRHH (Ej 1º,2º)'!$Y$23)/3</f>
        <v>0</v>
      </c>
      <c r="N15" s="2266">
        <f>('5. Costes RRHH (Ej 1º,2º)'!$Y$23)/3</f>
        <v>0</v>
      </c>
      <c r="O15" s="676">
        <f>SUM(C15:N15)</f>
        <v>0</v>
      </c>
      <c r="P15" s="1013"/>
      <c r="Q15" s="2217"/>
      <c r="R15" s="674"/>
      <c r="S15" s="3617"/>
      <c r="T15" s="2277">
        <f>('5. Costes RRHH (Ej 1º,2º)'!$AP$23)/3</f>
        <v>0</v>
      </c>
      <c r="U15" s="2792">
        <f>('5. Costes RRHH (Ej 1º,2º)'!$AP$23)/3</f>
        <v>0</v>
      </c>
      <c r="V15" s="2792">
        <f>('5. Costes RRHH (Ej 1º,2º)'!$AP$23)/3</f>
        <v>0</v>
      </c>
      <c r="W15" s="2792">
        <f>('5. Costes RRHH (Ej 1º,2º)'!$AT$23)/3</f>
        <v>0</v>
      </c>
      <c r="X15" s="2792">
        <f>('5. Costes RRHH (Ej 1º,2º)'!$AT$23)/3</f>
        <v>0</v>
      </c>
      <c r="Y15" s="2792">
        <f>('5. Costes RRHH (Ej 1º,2º)'!$AT$23)/3</f>
        <v>0</v>
      </c>
      <c r="Z15" s="2792">
        <f>('5. Costes RRHH (Ej 1º,2º)'!$AX$23)/3</f>
        <v>0</v>
      </c>
      <c r="AA15" s="2792">
        <f>('5. Costes RRHH (Ej 1º,2º)'!$AX$23)/3</f>
        <v>0</v>
      </c>
      <c r="AB15" s="2792">
        <f>('5. Costes RRHH (Ej 1º,2º)'!$AX$23)/3</f>
        <v>0</v>
      </c>
      <c r="AC15" s="2792">
        <f>('5. Costes RRHH (Ej 1º,2º)'!$BB$23)/3</f>
        <v>0</v>
      </c>
      <c r="AD15" s="2792">
        <f>('5. Costes RRHH (Ej 1º,2º)'!$BB$23)/3</f>
        <v>0</v>
      </c>
      <c r="AE15" s="2266">
        <f>('5. Costes RRHH (Ej 1º,2º)'!$BB$23)/3</f>
        <v>0</v>
      </c>
      <c r="AF15" s="676">
        <f t="shared" si="0"/>
        <v>0</v>
      </c>
    </row>
    <row r="16" spans="1:32" s="671" customFormat="1" ht="23.25" customHeight="1" thickBot="1">
      <c r="A16" s="2352" t="s">
        <v>269</v>
      </c>
      <c r="B16" s="2173"/>
      <c r="C16" s="2257">
        <f>'5. Costes RRHH (Ej 1º,2º)'!$O$24/3</f>
        <v>0</v>
      </c>
      <c r="D16" s="2792">
        <f>'5. Costes RRHH (Ej 1º,2º)'!$O$24/3</f>
        <v>0</v>
      </c>
      <c r="E16" s="2792">
        <f>'5. Costes RRHH (Ej 1º,2º)'!$O$24/3</f>
        <v>0</v>
      </c>
      <c r="F16" s="2792">
        <f>'5. Costes RRHH (Ej 1º,2º)'!$S$24/3</f>
        <v>0</v>
      </c>
      <c r="G16" s="2792">
        <f>'5. Costes RRHH (Ej 1º,2º)'!$S$24/3</f>
        <v>0</v>
      </c>
      <c r="H16" s="2792">
        <f>'5. Costes RRHH (Ej 1º,2º)'!$S$24/3</f>
        <v>0</v>
      </c>
      <c r="I16" s="2792">
        <f>'5. Costes RRHH (Ej 1º,2º)'!$W$24/3</f>
        <v>0</v>
      </c>
      <c r="J16" s="2792">
        <f>'5. Costes RRHH (Ej 1º,2º)'!$W$24/3</f>
        <v>0</v>
      </c>
      <c r="K16" s="2792">
        <f>'5. Costes RRHH (Ej 1º,2º)'!$W$24/3</f>
        <v>0</v>
      </c>
      <c r="L16" s="2792">
        <f>'5. Costes RRHH (Ej 1º,2º)'!$AA$24/3</f>
        <v>0</v>
      </c>
      <c r="M16" s="2792">
        <f>'5. Costes RRHH (Ej 1º,2º)'!$AA$24/3</f>
        <v>0</v>
      </c>
      <c r="N16" s="2266">
        <f>'5. Costes RRHH (Ej 1º,2º)'!$AA$24/3</f>
        <v>0</v>
      </c>
      <c r="O16" s="676">
        <f>SUM(C16:N16)</f>
        <v>0</v>
      </c>
      <c r="P16" s="1013"/>
      <c r="Q16" s="2217"/>
      <c r="R16" s="674"/>
      <c r="S16" s="3618"/>
      <c r="T16" s="2277">
        <f>'5. Costes RRHH (Ej 1º,2º)'!$AR$24/3</f>
        <v>0</v>
      </c>
      <c r="U16" s="2792">
        <f>'5. Costes RRHH (Ej 1º,2º)'!$AR$24/3</f>
        <v>0</v>
      </c>
      <c r="V16" s="2792">
        <f>'5. Costes RRHH (Ej 1º,2º)'!$AR$24/3</f>
        <v>0</v>
      </c>
      <c r="W16" s="2792">
        <f>'5. Costes RRHH (Ej 1º,2º)'!$AV$24/3</f>
        <v>0</v>
      </c>
      <c r="X16" s="2792">
        <f>'5. Costes RRHH (Ej 1º,2º)'!$AV$24/3</f>
        <v>0</v>
      </c>
      <c r="Y16" s="2792">
        <f>'5. Costes RRHH (Ej 1º,2º)'!$AV$24/3</f>
        <v>0</v>
      </c>
      <c r="Z16" s="2792">
        <f>'5. Costes RRHH (Ej 1º,2º)'!$AZ$24/3</f>
        <v>0</v>
      </c>
      <c r="AA16" s="2792">
        <f>'5. Costes RRHH (Ej 1º,2º)'!$AZ$24/3</f>
        <v>0</v>
      </c>
      <c r="AB16" s="2792">
        <f>'5. Costes RRHH (Ej 1º,2º)'!$AZ$24/3</f>
        <v>0</v>
      </c>
      <c r="AC16" s="2792">
        <f>'5. Costes RRHH (Ej 1º,2º)'!$BD$24/3</f>
        <v>0</v>
      </c>
      <c r="AD16" s="2792">
        <f>'5. Costes RRHH (Ej 1º,2º)'!$BD$24/3</f>
        <v>0</v>
      </c>
      <c r="AE16" s="2266">
        <f>'5. Costes RRHH (Ej 1º,2º)'!$BD$24/3</f>
        <v>0</v>
      </c>
      <c r="AF16" s="676">
        <f t="shared" si="0"/>
        <v>0</v>
      </c>
    </row>
    <row r="17" spans="1:32" s="671" customFormat="1" ht="23.25" customHeight="1" thickTop="1">
      <c r="A17" s="2353" t="s">
        <v>403</v>
      </c>
      <c r="B17" s="2173"/>
      <c r="C17" s="2258"/>
      <c r="D17" s="2794"/>
      <c r="E17" s="2794"/>
      <c r="F17" s="2794"/>
      <c r="G17" s="2794"/>
      <c r="H17" s="2794"/>
      <c r="I17" s="2794"/>
      <c r="J17" s="2794"/>
      <c r="K17" s="2794"/>
      <c r="L17" s="2794"/>
      <c r="M17" s="2794"/>
      <c r="N17" s="2267"/>
      <c r="O17" s="680">
        <f>SUM(C17:N17)</f>
        <v>0</v>
      </c>
      <c r="P17" s="1164"/>
      <c r="Q17" s="2219"/>
      <c r="R17" s="1130"/>
      <c r="S17" s="2220">
        <v>0</v>
      </c>
      <c r="T17" s="2278">
        <f t="shared" ref="T17:AE17" si="4">(C17+C17*$S$17)</f>
        <v>0</v>
      </c>
      <c r="U17" s="2794">
        <f t="shared" si="4"/>
        <v>0</v>
      </c>
      <c r="V17" s="2794">
        <f t="shared" si="4"/>
        <v>0</v>
      </c>
      <c r="W17" s="2794">
        <f t="shared" si="4"/>
        <v>0</v>
      </c>
      <c r="X17" s="2794">
        <f t="shared" si="4"/>
        <v>0</v>
      </c>
      <c r="Y17" s="2794">
        <f t="shared" si="4"/>
        <v>0</v>
      </c>
      <c r="Z17" s="2794">
        <f t="shared" si="4"/>
        <v>0</v>
      </c>
      <c r="AA17" s="2794">
        <f t="shared" si="4"/>
        <v>0</v>
      </c>
      <c r="AB17" s="2794">
        <f t="shared" si="4"/>
        <v>0</v>
      </c>
      <c r="AC17" s="2794">
        <f t="shared" si="4"/>
        <v>0</v>
      </c>
      <c r="AD17" s="2794">
        <f t="shared" si="4"/>
        <v>0</v>
      </c>
      <c r="AE17" s="2267">
        <f t="shared" si="4"/>
        <v>0</v>
      </c>
      <c r="AF17" s="680">
        <f t="shared" si="0"/>
        <v>0</v>
      </c>
    </row>
    <row r="18" spans="1:32" s="671" customFormat="1" ht="23.25" customHeight="1">
      <c r="A18" s="2353" t="s">
        <v>404</v>
      </c>
      <c r="B18" s="2173"/>
      <c r="C18" s="2258"/>
      <c r="D18" s="2251">
        <f t="shared" ref="D18:N27" si="5">C18</f>
        <v>0</v>
      </c>
      <c r="E18" s="2796">
        <f t="shared" si="5"/>
        <v>0</v>
      </c>
      <c r="F18" s="2796">
        <f t="shared" si="5"/>
        <v>0</v>
      </c>
      <c r="G18" s="2796">
        <f t="shared" si="5"/>
        <v>0</v>
      </c>
      <c r="H18" s="2796">
        <f t="shared" si="5"/>
        <v>0</v>
      </c>
      <c r="I18" s="2796">
        <f t="shared" si="5"/>
        <v>0</v>
      </c>
      <c r="J18" s="2796">
        <f t="shared" si="5"/>
        <v>0</v>
      </c>
      <c r="K18" s="2796">
        <f t="shared" si="5"/>
        <v>0</v>
      </c>
      <c r="L18" s="2796">
        <f t="shared" si="5"/>
        <v>0</v>
      </c>
      <c r="M18" s="2796">
        <f t="shared" si="5"/>
        <v>0</v>
      </c>
      <c r="N18" s="2268">
        <f t="shared" si="5"/>
        <v>0</v>
      </c>
      <c r="O18" s="676">
        <f t="shared" si="2"/>
        <v>0</v>
      </c>
      <c r="P18" s="1013"/>
      <c r="Q18" s="2217"/>
      <c r="R18" s="674"/>
      <c r="S18" s="2108">
        <f>S17</f>
        <v>0</v>
      </c>
      <c r="T18" s="2278">
        <f>(C18+C18*$S$18)</f>
        <v>0</v>
      </c>
      <c r="U18" s="2795">
        <f t="shared" ref="U18:U26" si="6">T18</f>
        <v>0</v>
      </c>
      <c r="V18" s="2795">
        <f t="shared" ref="V18:V26" si="7">U18</f>
        <v>0</v>
      </c>
      <c r="W18" s="2795">
        <f t="shared" ref="W18:W26" si="8">V18</f>
        <v>0</v>
      </c>
      <c r="X18" s="2795">
        <f t="shared" ref="X18:X26" si="9">W18</f>
        <v>0</v>
      </c>
      <c r="Y18" s="2795">
        <f t="shared" ref="Y18:Y26" si="10">X18</f>
        <v>0</v>
      </c>
      <c r="Z18" s="2795">
        <f t="shared" ref="Z18:Z26" si="11">Y18</f>
        <v>0</v>
      </c>
      <c r="AA18" s="2795">
        <f t="shared" ref="AA18:AA26" si="12">Z18</f>
        <v>0</v>
      </c>
      <c r="AB18" s="2795">
        <f t="shared" ref="AB18:AB26" si="13">AA18</f>
        <v>0</v>
      </c>
      <c r="AC18" s="2795">
        <f t="shared" ref="AC18:AC26" si="14">AB18</f>
        <v>0</v>
      </c>
      <c r="AD18" s="2795">
        <f t="shared" ref="AD18:AD26" si="15">AC18</f>
        <v>0</v>
      </c>
      <c r="AE18" s="2268">
        <f t="shared" ref="AE18:AE26" si="16">AD18</f>
        <v>0</v>
      </c>
      <c r="AF18" s="676">
        <f t="shared" si="0"/>
        <v>0</v>
      </c>
    </row>
    <row r="19" spans="1:32" s="671" customFormat="1" ht="23.25" customHeight="1">
      <c r="A19" s="2353" t="s">
        <v>405</v>
      </c>
      <c r="B19" s="2173"/>
      <c r="C19" s="2258"/>
      <c r="D19" s="2796">
        <f t="shared" si="5"/>
        <v>0</v>
      </c>
      <c r="E19" s="2795">
        <f t="shared" si="5"/>
        <v>0</v>
      </c>
      <c r="F19" s="2795">
        <f t="shared" si="5"/>
        <v>0</v>
      </c>
      <c r="G19" s="2795">
        <f t="shared" si="5"/>
        <v>0</v>
      </c>
      <c r="H19" s="2795">
        <f t="shared" si="5"/>
        <v>0</v>
      </c>
      <c r="I19" s="2795">
        <f t="shared" si="5"/>
        <v>0</v>
      </c>
      <c r="J19" s="2795">
        <f t="shared" si="5"/>
        <v>0</v>
      </c>
      <c r="K19" s="2795">
        <f t="shared" si="5"/>
        <v>0</v>
      </c>
      <c r="L19" s="2795">
        <f t="shared" si="5"/>
        <v>0</v>
      </c>
      <c r="M19" s="2795">
        <f t="shared" si="5"/>
        <v>0</v>
      </c>
      <c r="N19" s="2268">
        <f t="shared" si="5"/>
        <v>0</v>
      </c>
      <c r="O19" s="676">
        <f t="shared" si="2"/>
        <v>0</v>
      </c>
      <c r="P19" s="1013"/>
      <c r="Q19" s="2217"/>
      <c r="R19" s="674"/>
      <c r="S19" s="2108">
        <f t="shared" ref="S19:S26" si="17">S18</f>
        <v>0</v>
      </c>
      <c r="T19" s="2278">
        <f>(C19+C19*$S$19)</f>
        <v>0</v>
      </c>
      <c r="U19" s="2795">
        <f t="shared" si="6"/>
        <v>0</v>
      </c>
      <c r="V19" s="2795">
        <f t="shared" si="7"/>
        <v>0</v>
      </c>
      <c r="W19" s="2795">
        <f t="shared" si="8"/>
        <v>0</v>
      </c>
      <c r="X19" s="2795">
        <f t="shared" si="9"/>
        <v>0</v>
      </c>
      <c r="Y19" s="2795">
        <f t="shared" si="10"/>
        <v>0</v>
      </c>
      <c r="Z19" s="2795">
        <f t="shared" si="11"/>
        <v>0</v>
      </c>
      <c r="AA19" s="2795">
        <f t="shared" si="12"/>
        <v>0</v>
      </c>
      <c r="AB19" s="2795">
        <f t="shared" si="13"/>
        <v>0</v>
      </c>
      <c r="AC19" s="2795">
        <f t="shared" si="14"/>
        <v>0</v>
      </c>
      <c r="AD19" s="2795">
        <f t="shared" si="15"/>
        <v>0</v>
      </c>
      <c r="AE19" s="2268">
        <f t="shared" si="16"/>
        <v>0</v>
      </c>
      <c r="AF19" s="676">
        <f t="shared" si="0"/>
        <v>0</v>
      </c>
    </row>
    <row r="20" spans="1:32" s="671" customFormat="1" ht="23.25" customHeight="1">
      <c r="A20" s="2353" t="s">
        <v>447</v>
      </c>
      <c r="B20" s="2173"/>
      <c r="C20" s="2258"/>
      <c r="D20" s="2795">
        <f t="shared" si="5"/>
        <v>0</v>
      </c>
      <c r="E20" s="2795">
        <f t="shared" si="5"/>
        <v>0</v>
      </c>
      <c r="F20" s="2795">
        <f t="shared" si="5"/>
        <v>0</v>
      </c>
      <c r="G20" s="2795">
        <f t="shared" si="5"/>
        <v>0</v>
      </c>
      <c r="H20" s="2795">
        <f t="shared" si="5"/>
        <v>0</v>
      </c>
      <c r="I20" s="2795">
        <f t="shared" si="5"/>
        <v>0</v>
      </c>
      <c r="J20" s="2795">
        <f t="shared" si="5"/>
        <v>0</v>
      </c>
      <c r="K20" s="2795">
        <f t="shared" si="5"/>
        <v>0</v>
      </c>
      <c r="L20" s="2795">
        <f t="shared" si="5"/>
        <v>0</v>
      </c>
      <c r="M20" s="2795">
        <f t="shared" si="5"/>
        <v>0</v>
      </c>
      <c r="N20" s="2268">
        <f t="shared" si="5"/>
        <v>0</v>
      </c>
      <c r="O20" s="676">
        <f t="shared" si="2"/>
        <v>0</v>
      </c>
      <c r="P20" s="1013"/>
      <c r="Q20" s="2217"/>
      <c r="R20" s="674"/>
      <c r="S20" s="2108">
        <f t="shared" si="17"/>
        <v>0</v>
      </c>
      <c r="T20" s="2278">
        <f>(C20+C20*$S$20)</f>
        <v>0</v>
      </c>
      <c r="U20" s="2795">
        <f t="shared" si="6"/>
        <v>0</v>
      </c>
      <c r="V20" s="2795">
        <f t="shared" si="7"/>
        <v>0</v>
      </c>
      <c r="W20" s="2795">
        <f t="shared" si="8"/>
        <v>0</v>
      </c>
      <c r="X20" s="2795">
        <f t="shared" si="9"/>
        <v>0</v>
      </c>
      <c r="Y20" s="2795">
        <f t="shared" si="10"/>
        <v>0</v>
      </c>
      <c r="Z20" s="2795">
        <f t="shared" si="11"/>
        <v>0</v>
      </c>
      <c r="AA20" s="2795">
        <f t="shared" si="12"/>
        <v>0</v>
      </c>
      <c r="AB20" s="2795">
        <f t="shared" si="13"/>
        <v>0</v>
      </c>
      <c r="AC20" s="2795">
        <f t="shared" si="14"/>
        <v>0</v>
      </c>
      <c r="AD20" s="2795">
        <f t="shared" si="15"/>
        <v>0</v>
      </c>
      <c r="AE20" s="2268">
        <f t="shared" si="16"/>
        <v>0</v>
      </c>
      <c r="AF20" s="676">
        <f t="shared" si="0"/>
        <v>0</v>
      </c>
    </row>
    <row r="21" spans="1:32" s="671" customFormat="1" ht="23.25" customHeight="1">
      <c r="A21" s="2352" t="s">
        <v>829</v>
      </c>
      <c r="B21" s="2173"/>
      <c r="C21" s="2259">
        <f>'4.Costes Mk y Métricas (1º,2º)'!D10</f>
        <v>0</v>
      </c>
      <c r="D21" s="2797">
        <f>'4.Costes Mk y Métricas (1º,2º)'!E10</f>
        <v>0</v>
      </c>
      <c r="E21" s="2797">
        <f>'4.Costes Mk y Métricas (1º,2º)'!F10</f>
        <v>0</v>
      </c>
      <c r="F21" s="2797">
        <f>'4.Costes Mk y Métricas (1º,2º)'!G10</f>
        <v>0</v>
      </c>
      <c r="G21" s="2797">
        <f>'4.Costes Mk y Métricas (1º,2º)'!H10</f>
        <v>0</v>
      </c>
      <c r="H21" s="2797">
        <f>'4.Costes Mk y Métricas (1º,2º)'!I10</f>
        <v>0</v>
      </c>
      <c r="I21" s="2797">
        <f>'4.Costes Mk y Métricas (1º,2º)'!J10</f>
        <v>0</v>
      </c>
      <c r="J21" s="2797">
        <f>'4.Costes Mk y Métricas (1º,2º)'!K10</f>
        <v>0</v>
      </c>
      <c r="K21" s="2797">
        <f>'4.Costes Mk y Métricas (1º,2º)'!L10</f>
        <v>0</v>
      </c>
      <c r="L21" s="2797">
        <f>'4.Costes Mk y Métricas (1º,2º)'!M10</f>
        <v>0</v>
      </c>
      <c r="M21" s="2797">
        <f>'4.Costes Mk y Métricas (1º,2º)'!N10</f>
        <v>0</v>
      </c>
      <c r="N21" s="2269">
        <f>'4.Costes Mk y Métricas (1º,2º)'!O10</f>
        <v>0</v>
      </c>
      <c r="O21" s="680">
        <f>SUM(C21:N21)</f>
        <v>0</v>
      </c>
      <c r="P21" s="1164"/>
      <c r="Q21" s="2219"/>
      <c r="R21" s="674"/>
      <c r="S21" s="2221">
        <f t="shared" si="17"/>
        <v>0</v>
      </c>
      <c r="T21" s="2279">
        <f>'4.Costes Mk y Métricas (1º,2º)'!W10</f>
        <v>0</v>
      </c>
      <c r="U21" s="2797">
        <f>'4.Costes Mk y Métricas (1º,2º)'!X10</f>
        <v>0</v>
      </c>
      <c r="V21" s="2797">
        <f>'4.Costes Mk y Métricas (1º,2º)'!Y10</f>
        <v>0</v>
      </c>
      <c r="W21" s="2797">
        <f>'4.Costes Mk y Métricas (1º,2º)'!Z10</f>
        <v>0</v>
      </c>
      <c r="X21" s="2797">
        <f>'4.Costes Mk y Métricas (1º,2º)'!AA10</f>
        <v>0</v>
      </c>
      <c r="Y21" s="2797">
        <f>'4.Costes Mk y Métricas (1º,2º)'!AB10</f>
        <v>0</v>
      </c>
      <c r="Z21" s="2797">
        <f>'4.Costes Mk y Métricas (1º,2º)'!AC10</f>
        <v>0</v>
      </c>
      <c r="AA21" s="2797">
        <f>'4.Costes Mk y Métricas (1º,2º)'!AD10</f>
        <v>0</v>
      </c>
      <c r="AB21" s="2797">
        <f>'4.Costes Mk y Métricas (1º,2º)'!AE10</f>
        <v>0</v>
      </c>
      <c r="AC21" s="2797">
        <f>'4.Costes Mk y Métricas (1º,2º)'!AF10</f>
        <v>0</v>
      </c>
      <c r="AD21" s="2797">
        <f>'4.Costes Mk y Métricas (1º,2º)'!AG10</f>
        <v>0</v>
      </c>
      <c r="AE21" s="2269">
        <f>'4.Costes Mk y Métricas (1º,2º)'!AH10</f>
        <v>0</v>
      </c>
      <c r="AF21" s="680">
        <f t="shared" si="0"/>
        <v>0</v>
      </c>
    </row>
    <row r="22" spans="1:32" s="671" customFormat="1" ht="23.25" customHeight="1">
      <c r="A22" s="2353" t="s">
        <v>406</v>
      </c>
      <c r="B22" s="2173"/>
      <c r="C22" s="2258"/>
      <c r="D22" s="2794"/>
      <c r="E22" s="2794"/>
      <c r="F22" s="2794"/>
      <c r="G22" s="2794"/>
      <c r="H22" s="2794"/>
      <c r="I22" s="2794"/>
      <c r="J22" s="2794"/>
      <c r="K22" s="2794"/>
      <c r="L22" s="2794"/>
      <c r="M22" s="2794"/>
      <c r="N22" s="2267"/>
      <c r="O22" s="680">
        <f>SUM(C22:N22)</f>
        <v>0</v>
      </c>
      <c r="P22" s="1164"/>
      <c r="Q22" s="2219"/>
      <c r="R22" s="674"/>
      <c r="S22" s="2108">
        <f t="shared" si="17"/>
        <v>0</v>
      </c>
      <c r="T22" s="2278">
        <f t="shared" ref="T22:AE22" si="18">(C22+C22*$S$22)</f>
        <v>0</v>
      </c>
      <c r="U22" s="2794">
        <f t="shared" si="18"/>
        <v>0</v>
      </c>
      <c r="V22" s="2794">
        <f t="shared" si="18"/>
        <v>0</v>
      </c>
      <c r="W22" s="2794">
        <f t="shared" si="18"/>
        <v>0</v>
      </c>
      <c r="X22" s="2794">
        <f t="shared" si="18"/>
        <v>0</v>
      </c>
      <c r="Y22" s="2794">
        <f t="shared" si="18"/>
        <v>0</v>
      </c>
      <c r="Z22" s="2794">
        <f t="shared" si="18"/>
        <v>0</v>
      </c>
      <c r="AA22" s="2794">
        <f t="shared" si="18"/>
        <v>0</v>
      </c>
      <c r="AB22" s="2794">
        <f t="shared" si="18"/>
        <v>0</v>
      </c>
      <c r="AC22" s="2794">
        <f t="shared" si="18"/>
        <v>0</v>
      </c>
      <c r="AD22" s="2794">
        <f t="shared" si="18"/>
        <v>0</v>
      </c>
      <c r="AE22" s="2267">
        <f t="shared" si="18"/>
        <v>0</v>
      </c>
      <c r="AF22" s="680">
        <f t="shared" si="0"/>
        <v>0</v>
      </c>
    </row>
    <row r="23" spans="1:32" s="671" customFormat="1" ht="23.25" customHeight="1">
      <c r="A23" s="2353" t="s">
        <v>191</v>
      </c>
      <c r="B23" s="2173"/>
      <c r="C23" s="2258"/>
      <c r="D23" s="2795">
        <f t="shared" si="5"/>
        <v>0</v>
      </c>
      <c r="E23" s="2795">
        <f t="shared" si="5"/>
        <v>0</v>
      </c>
      <c r="F23" s="2795">
        <f t="shared" si="5"/>
        <v>0</v>
      </c>
      <c r="G23" s="2795">
        <f t="shared" si="5"/>
        <v>0</v>
      </c>
      <c r="H23" s="2795">
        <f t="shared" si="5"/>
        <v>0</v>
      </c>
      <c r="I23" s="2795">
        <f t="shared" si="5"/>
        <v>0</v>
      </c>
      <c r="J23" s="2795">
        <f t="shared" si="5"/>
        <v>0</v>
      </c>
      <c r="K23" s="2795">
        <f t="shared" si="5"/>
        <v>0</v>
      </c>
      <c r="L23" s="2795">
        <f t="shared" si="5"/>
        <v>0</v>
      </c>
      <c r="M23" s="2795">
        <f t="shared" si="5"/>
        <v>0</v>
      </c>
      <c r="N23" s="2268">
        <f t="shared" si="5"/>
        <v>0</v>
      </c>
      <c r="O23" s="676">
        <f t="shared" si="2"/>
        <v>0</v>
      </c>
      <c r="P23" s="1013"/>
      <c r="Q23" s="2217"/>
      <c r="R23" s="674"/>
      <c r="S23" s="2108">
        <f t="shared" si="17"/>
        <v>0</v>
      </c>
      <c r="T23" s="2278">
        <f>(C23+C23*$S$23)</f>
        <v>0</v>
      </c>
      <c r="U23" s="2795">
        <f t="shared" si="6"/>
        <v>0</v>
      </c>
      <c r="V23" s="2795">
        <f t="shared" si="7"/>
        <v>0</v>
      </c>
      <c r="W23" s="2795">
        <f t="shared" si="8"/>
        <v>0</v>
      </c>
      <c r="X23" s="2795">
        <f t="shared" si="9"/>
        <v>0</v>
      </c>
      <c r="Y23" s="2795">
        <f t="shared" si="10"/>
        <v>0</v>
      </c>
      <c r="Z23" s="2795">
        <f t="shared" si="11"/>
        <v>0</v>
      </c>
      <c r="AA23" s="2795">
        <f t="shared" si="12"/>
        <v>0</v>
      </c>
      <c r="AB23" s="2795">
        <f t="shared" si="13"/>
        <v>0</v>
      </c>
      <c r="AC23" s="2795">
        <f t="shared" si="14"/>
        <v>0</v>
      </c>
      <c r="AD23" s="2795">
        <f t="shared" si="15"/>
        <v>0</v>
      </c>
      <c r="AE23" s="2268">
        <f t="shared" si="16"/>
        <v>0</v>
      </c>
      <c r="AF23" s="676">
        <f t="shared" ref="AF23:AF40" si="19">SUM(T23:AE23)</f>
        <v>0</v>
      </c>
    </row>
    <row r="24" spans="1:32" s="671" customFormat="1" ht="23.25" customHeight="1">
      <c r="A24" s="2353" t="s">
        <v>432</v>
      </c>
      <c r="B24" s="2173"/>
      <c r="C24" s="2258"/>
      <c r="D24" s="2795">
        <f t="shared" si="5"/>
        <v>0</v>
      </c>
      <c r="E24" s="2795">
        <f t="shared" si="5"/>
        <v>0</v>
      </c>
      <c r="F24" s="2795">
        <f t="shared" si="5"/>
        <v>0</v>
      </c>
      <c r="G24" s="2795">
        <f t="shared" si="5"/>
        <v>0</v>
      </c>
      <c r="H24" s="2795">
        <f t="shared" si="5"/>
        <v>0</v>
      </c>
      <c r="I24" s="2795">
        <f t="shared" si="5"/>
        <v>0</v>
      </c>
      <c r="J24" s="2795">
        <f t="shared" si="5"/>
        <v>0</v>
      </c>
      <c r="K24" s="2795">
        <f t="shared" si="5"/>
        <v>0</v>
      </c>
      <c r="L24" s="2795">
        <f t="shared" si="5"/>
        <v>0</v>
      </c>
      <c r="M24" s="2795">
        <f t="shared" si="5"/>
        <v>0</v>
      </c>
      <c r="N24" s="2268">
        <f t="shared" si="5"/>
        <v>0</v>
      </c>
      <c r="O24" s="676">
        <f t="shared" si="2"/>
        <v>0</v>
      </c>
      <c r="P24" s="1013"/>
      <c r="Q24" s="2217"/>
      <c r="R24" s="674"/>
      <c r="S24" s="2108">
        <f t="shared" si="17"/>
        <v>0</v>
      </c>
      <c r="T24" s="2278">
        <f>(C24+C24*$S$24)</f>
        <v>0</v>
      </c>
      <c r="U24" s="2795">
        <f t="shared" si="6"/>
        <v>0</v>
      </c>
      <c r="V24" s="2795">
        <f t="shared" si="7"/>
        <v>0</v>
      </c>
      <c r="W24" s="2795">
        <f t="shared" si="8"/>
        <v>0</v>
      </c>
      <c r="X24" s="2795">
        <f t="shared" si="9"/>
        <v>0</v>
      </c>
      <c r="Y24" s="2795">
        <f t="shared" si="10"/>
        <v>0</v>
      </c>
      <c r="Z24" s="2795">
        <f t="shared" si="11"/>
        <v>0</v>
      </c>
      <c r="AA24" s="2795">
        <f t="shared" si="12"/>
        <v>0</v>
      </c>
      <c r="AB24" s="2795">
        <f t="shared" si="13"/>
        <v>0</v>
      </c>
      <c r="AC24" s="2795">
        <f t="shared" si="14"/>
        <v>0</v>
      </c>
      <c r="AD24" s="2795">
        <f t="shared" si="15"/>
        <v>0</v>
      </c>
      <c r="AE24" s="2268">
        <f t="shared" si="16"/>
        <v>0</v>
      </c>
      <c r="AF24" s="676">
        <f t="shared" si="19"/>
        <v>0</v>
      </c>
    </row>
    <row r="25" spans="1:32" s="671" customFormat="1" ht="23.25" customHeight="1">
      <c r="A25" s="2353" t="s">
        <v>407</v>
      </c>
      <c r="B25" s="2173"/>
      <c r="C25" s="2258"/>
      <c r="D25" s="2795">
        <f t="shared" si="5"/>
        <v>0</v>
      </c>
      <c r="E25" s="2795">
        <f t="shared" si="5"/>
        <v>0</v>
      </c>
      <c r="F25" s="2795">
        <f t="shared" si="5"/>
        <v>0</v>
      </c>
      <c r="G25" s="2795">
        <f t="shared" si="5"/>
        <v>0</v>
      </c>
      <c r="H25" s="2795">
        <f t="shared" si="5"/>
        <v>0</v>
      </c>
      <c r="I25" s="2795">
        <f t="shared" si="5"/>
        <v>0</v>
      </c>
      <c r="J25" s="2795">
        <f t="shared" si="5"/>
        <v>0</v>
      </c>
      <c r="K25" s="2795">
        <f t="shared" si="5"/>
        <v>0</v>
      </c>
      <c r="L25" s="2795">
        <f t="shared" si="5"/>
        <v>0</v>
      </c>
      <c r="M25" s="2795">
        <f t="shared" si="5"/>
        <v>0</v>
      </c>
      <c r="N25" s="2268">
        <f t="shared" si="5"/>
        <v>0</v>
      </c>
      <c r="O25" s="676">
        <f t="shared" si="2"/>
        <v>0</v>
      </c>
      <c r="P25" s="1013"/>
      <c r="Q25" s="2217"/>
      <c r="R25" s="674"/>
      <c r="S25" s="2108">
        <f t="shared" si="17"/>
        <v>0</v>
      </c>
      <c r="T25" s="2278">
        <f>(C25+C25*$S$25)</f>
        <v>0</v>
      </c>
      <c r="U25" s="2795">
        <f t="shared" si="6"/>
        <v>0</v>
      </c>
      <c r="V25" s="2795">
        <f t="shared" si="7"/>
        <v>0</v>
      </c>
      <c r="W25" s="2795">
        <f t="shared" si="8"/>
        <v>0</v>
      </c>
      <c r="X25" s="2795">
        <f t="shared" si="9"/>
        <v>0</v>
      </c>
      <c r="Y25" s="2795">
        <f t="shared" si="10"/>
        <v>0</v>
      </c>
      <c r="Z25" s="2795">
        <f t="shared" si="11"/>
        <v>0</v>
      </c>
      <c r="AA25" s="2795">
        <f t="shared" si="12"/>
        <v>0</v>
      </c>
      <c r="AB25" s="2795">
        <f t="shared" si="13"/>
        <v>0</v>
      </c>
      <c r="AC25" s="2795">
        <f t="shared" si="14"/>
        <v>0</v>
      </c>
      <c r="AD25" s="2795">
        <f t="shared" si="15"/>
        <v>0</v>
      </c>
      <c r="AE25" s="2268">
        <f t="shared" si="16"/>
        <v>0</v>
      </c>
      <c r="AF25" s="676">
        <f t="shared" si="19"/>
        <v>0</v>
      </c>
    </row>
    <row r="26" spans="1:32" s="671" customFormat="1" ht="23.25" customHeight="1">
      <c r="A26" s="2353" t="s">
        <v>408</v>
      </c>
      <c r="B26" s="2173"/>
      <c r="C26" s="2258"/>
      <c r="D26" s="2795">
        <f t="shared" si="5"/>
        <v>0</v>
      </c>
      <c r="E26" s="2795">
        <f t="shared" si="5"/>
        <v>0</v>
      </c>
      <c r="F26" s="2795">
        <f t="shared" si="5"/>
        <v>0</v>
      </c>
      <c r="G26" s="2795">
        <f t="shared" si="5"/>
        <v>0</v>
      </c>
      <c r="H26" s="2795">
        <f t="shared" si="5"/>
        <v>0</v>
      </c>
      <c r="I26" s="2795">
        <f t="shared" si="5"/>
        <v>0</v>
      </c>
      <c r="J26" s="2795">
        <f t="shared" si="5"/>
        <v>0</v>
      </c>
      <c r="K26" s="2795">
        <f t="shared" si="5"/>
        <v>0</v>
      </c>
      <c r="L26" s="2795">
        <f t="shared" si="5"/>
        <v>0</v>
      </c>
      <c r="M26" s="2795">
        <f t="shared" si="5"/>
        <v>0</v>
      </c>
      <c r="N26" s="2268">
        <f t="shared" si="5"/>
        <v>0</v>
      </c>
      <c r="O26" s="676">
        <f t="shared" si="2"/>
        <v>0</v>
      </c>
      <c r="P26" s="1013"/>
      <c r="Q26" s="2217"/>
      <c r="R26" s="674"/>
      <c r="S26" s="2108">
        <f t="shared" si="17"/>
        <v>0</v>
      </c>
      <c r="T26" s="2278">
        <f>(C26+C26*$S$26)</f>
        <v>0</v>
      </c>
      <c r="U26" s="2795">
        <f t="shared" si="6"/>
        <v>0</v>
      </c>
      <c r="V26" s="2795">
        <f t="shared" si="7"/>
        <v>0</v>
      </c>
      <c r="W26" s="2795">
        <f t="shared" si="8"/>
        <v>0</v>
      </c>
      <c r="X26" s="2795">
        <f t="shared" si="9"/>
        <v>0</v>
      </c>
      <c r="Y26" s="2795">
        <f t="shared" si="10"/>
        <v>0</v>
      </c>
      <c r="Z26" s="2795">
        <f t="shared" si="11"/>
        <v>0</v>
      </c>
      <c r="AA26" s="2795">
        <f t="shared" si="12"/>
        <v>0</v>
      </c>
      <c r="AB26" s="2795">
        <f t="shared" si="13"/>
        <v>0</v>
      </c>
      <c r="AC26" s="2795">
        <f t="shared" si="14"/>
        <v>0</v>
      </c>
      <c r="AD26" s="2795">
        <f t="shared" si="15"/>
        <v>0</v>
      </c>
      <c r="AE26" s="2268">
        <f t="shared" si="16"/>
        <v>0</v>
      </c>
      <c r="AF26" s="676">
        <f t="shared" si="19"/>
        <v>0</v>
      </c>
    </row>
    <row r="27" spans="1:32" s="671" customFormat="1" ht="23.25" customHeight="1">
      <c r="A27" s="2354" t="s">
        <v>592</v>
      </c>
      <c r="B27" s="2174"/>
      <c r="C27" s="2258"/>
      <c r="D27" s="2794">
        <f t="shared" si="5"/>
        <v>0</v>
      </c>
      <c r="E27" s="2794">
        <f t="shared" si="5"/>
        <v>0</v>
      </c>
      <c r="F27" s="2794">
        <f t="shared" si="5"/>
        <v>0</v>
      </c>
      <c r="G27" s="2794">
        <f t="shared" si="5"/>
        <v>0</v>
      </c>
      <c r="H27" s="2794">
        <f t="shared" si="5"/>
        <v>0</v>
      </c>
      <c r="I27" s="2794">
        <f t="shared" si="5"/>
        <v>0</v>
      </c>
      <c r="J27" s="2794">
        <f t="shared" si="5"/>
        <v>0</v>
      </c>
      <c r="K27" s="2794">
        <f t="shared" si="5"/>
        <v>0</v>
      </c>
      <c r="L27" s="2794">
        <f t="shared" si="5"/>
        <v>0</v>
      </c>
      <c r="M27" s="2794">
        <f t="shared" si="5"/>
        <v>0</v>
      </c>
      <c r="N27" s="2267">
        <f t="shared" si="5"/>
        <v>0</v>
      </c>
      <c r="O27" s="676">
        <f t="shared" ref="O27:O33" si="20">SUM(C27:N27)</f>
        <v>0</v>
      </c>
      <c r="P27" s="1013"/>
      <c r="Q27" s="2217"/>
      <c r="R27" s="674"/>
      <c r="S27" s="2108">
        <f>S26</f>
        <v>0</v>
      </c>
      <c r="T27" s="2278">
        <f t="shared" ref="T27:AE27" si="21">(C27+C27*$S$27)</f>
        <v>0</v>
      </c>
      <c r="U27" s="2794">
        <f t="shared" si="21"/>
        <v>0</v>
      </c>
      <c r="V27" s="2794">
        <f t="shared" si="21"/>
        <v>0</v>
      </c>
      <c r="W27" s="2794">
        <f t="shared" si="21"/>
        <v>0</v>
      </c>
      <c r="X27" s="2794">
        <f t="shared" si="21"/>
        <v>0</v>
      </c>
      <c r="Y27" s="2794">
        <f t="shared" si="21"/>
        <v>0</v>
      </c>
      <c r="Z27" s="2794">
        <f t="shared" si="21"/>
        <v>0</v>
      </c>
      <c r="AA27" s="2794">
        <f t="shared" si="21"/>
        <v>0</v>
      </c>
      <c r="AB27" s="2794">
        <f t="shared" si="21"/>
        <v>0</v>
      </c>
      <c r="AC27" s="2794">
        <f t="shared" si="21"/>
        <v>0</v>
      </c>
      <c r="AD27" s="2794">
        <f t="shared" si="21"/>
        <v>0</v>
      </c>
      <c r="AE27" s="2267">
        <f t="shared" si="21"/>
        <v>0</v>
      </c>
      <c r="AF27" s="676">
        <f t="shared" si="19"/>
        <v>0</v>
      </c>
    </row>
    <row r="28" spans="1:32" s="671" customFormat="1" ht="23.25" customHeight="1" thickBot="1">
      <c r="A28" s="2354" t="s">
        <v>409</v>
      </c>
      <c r="B28" s="2174"/>
      <c r="C28" s="2258"/>
      <c r="D28" s="2794">
        <f t="shared" ref="D28:N28" si="22">C28</f>
        <v>0</v>
      </c>
      <c r="E28" s="2794">
        <f t="shared" si="22"/>
        <v>0</v>
      </c>
      <c r="F28" s="2794">
        <f t="shared" si="22"/>
        <v>0</v>
      </c>
      <c r="G28" s="2794">
        <f t="shared" si="22"/>
        <v>0</v>
      </c>
      <c r="H28" s="2794">
        <f t="shared" si="22"/>
        <v>0</v>
      </c>
      <c r="I28" s="2794">
        <f t="shared" si="22"/>
        <v>0</v>
      </c>
      <c r="J28" s="2794">
        <f t="shared" si="22"/>
        <v>0</v>
      </c>
      <c r="K28" s="2794">
        <f t="shared" si="22"/>
        <v>0</v>
      </c>
      <c r="L28" s="2794">
        <f t="shared" si="22"/>
        <v>0</v>
      </c>
      <c r="M28" s="2794">
        <f t="shared" si="22"/>
        <v>0</v>
      </c>
      <c r="N28" s="2267">
        <f t="shared" si="22"/>
        <v>0</v>
      </c>
      <c r="O28" s="676">
        <f t="shared" si="20"/>
        <v>0</v>
      </c>
      <c r="P28" s="1013"/>
      <c r="Q28" s="2217"/>
      <c r="R28" s="674"/>
      <c r="S28" s="2222">
        <f>S17</f>
        <v>0</v>
      </c>
      <c r="T28" s="2278">
        <f t="shared" ref="T28:AE28" si="23">(C28+C28*$S$28)</f>
        <v>0</v>
      </c>
      <c r="U28" s="2794">
        <f t="shared" si="23"/>
        <v>0</v>
      </c>
      <c r="V28" s="2794">
        <f t="shared" si="23"/>
        <v>0</v>
      </c>
      <c r="W28" s="2794">
        <f t="shared" si="23"/>
        <v>0</v>
      </c>
      <c r="X28" s="2794">
        <f t="shared" si="23"/>
        <v>0</v>
      </c>
      <c r="Y28" s="2794">
        <f t="shared" si="23"/>
        <v>0</v>
      </c>
      <c r="Z28" s="2794">
        <f t="shared" si="23"/>
        <v>0</v>
      </c>
      <c r="AA28" s="2794">
        <f t="shared" si="23"/>
        <v>0</v>
      </c>
      <c r="AB28" s="2794">
        <f t="shared" si="23"/>
        <v>0</v>
      </c>
      <c r="AC28" s="2794">
        <f t="shared" si="23"/>
        <v>0</v>
      </c>
      <c r="AD28" s="2794">
        <f t="shared" si="23"/>
        <v>0</v>
      </c>
      <c r="AE28" s="2267">
        <f t="shared" si="23"/>
        <v>0</v>
      </c>
      <c r="AF28" s="676">
        <f t="shared" si="19"/>
        <v>0</v>
      </c>
    </row>
    <row r="29" spans="1:32" s="671" customFormat="1" ht="23.25" customHeight="1" thickTop="1">
      <c r="A29" s="2355" t="s">
        <v>452</v>
      </c>
      <c r="B29" s="2174"/>
      <c r="C29" s="2260">
        <f>'(0) 3c. Cuadro Renting y L'!$D$9-'Aux.4.0.Leasing Inicial'!B11</f>
        <v>0</v>
      </c>
      <c r="D29" s="2798">
        <f>'(0) 3c. Cuadro Renting y L'!$D$10-'Aux.4.0.Leasing Inicial'!B12</f>
        <v>0</v>
      </c>
      <c r="E29" s="2798">
        <f>'(0) 3c. Cuadro Renting y L'!$D$11-'Aux.4.0.Leasing Inicial'!B13</f>
        <v>0</v>
      </c>
      <c r="F29" s="2798">
        <f>'(0) 3c. Cuadro Renting y L'!$D$12-'Aux.4.0.Leasing Inicial'!B14</f>
        <v>0</v>
      </c>
      <c r="G29" s="2798">
        <f>'(0) 3c. Cuadro Renting y L'!$D$13-'Aux.4.0.Leasing Inicial'!B15</f>
        <v>0</v>
      </c>
      <c r="H29" s="2798">
        <f>'(0) 3c. Cuadro Renting y L'!$D$14-'Aux.4.0.Leasing Inicial'!B16</f>
        <v>0</v>
      </c>
      <c r="I29" s="2798">
        <f>'(0) 3c. Cuadro Renting y L'!$D$15-'Aux.4.0.Leasing Inicial'!B17</f>
        <v>0</v>
      </c>
      <c r="J29" s="2798">
        <f>'(0) 3c. Cuadro Renting y L'!$D$16-'Aux.4.0.Leasing Inicial'!B18</f>
        <v>0</v>
      </c>
      <c r="K29" s="2798">
        <f>'(0) 3c. Cuadro Renting y L'!$D$17-'Aux.4.0.Leasing Inicial'!B19</f>
        <v>0</v>
      </c>
      <c r="L29" s="2798">
        <f>'(0) 3c. Cuadro Renting y L'!$D$18-'Aux.4.0.Leasing Inicial'!B20</f>
        <v>0</v>
      </c>
      <c r="M29" s="2798">
        <f>'(0) 3c. Cuadro Renting y L'!$D$19-'Aux.4.0.Leasing Inicial'!B21</f>
        <v>0</v>
      </c>
      <c r="N29" s="2270">
        <f>'(0) 3c. Cuadro Renting y L'!$D$20-'Aux.4.0.Leasing Inicial'!B22</f>
        <v>0</v>
      </c>
      <c r="O29" s="676">
        <f t="shared" si="20"/>
        <v>0</v>
      </c>
      <c r="P29" s="1013"/>
      <c r="Q29" s="2217"/>
      <c r="R29" s="674"/>
      <c r="S29" s="2223"/>
      <c r="T29" s="2280">
        <f>'(0) 3c. Cuadro Renting y L'!$D$21-'Aux.4.0.Leasing Inicial'!B23</f>
        <v>0</v>
      </c>
      <c r="U29" s="2798">
        <f>'(0) 3c. Cuadro Renting y L'!$D$22-'Aux.4.0.Leasing Inicial'!B24</f>
        <v>0</v>
      </c>
      <c r="V29" s="2798">
        <f>'(0) 3c. Cuadro Renting y L'!$D$23-'Aux.4.0.Leasing Inicial'!B25</f>
        <v>0</v>
      </c>
      <c r="W29" s="2798">
        <f>'(0) 3c. Cuadro Renting y L'!$D$24-'Aux.4.0.Leasing Inicial'!B26</f>
        <v>0</v>
      </c>
      <c r="X29" s="2798">
        <f>'(0) 3c. Cuadro Renting y L'!$D$25-'Aux.4.0.Leasing Inicial'!B27</f>
        <v>0</v>
      </c>
      <c r="Y29" s="2798">
        <f>'(0) 3c. Cuadro Renting y L'!$D$26-'Aux.4.0.Leasing Inicial'!B28</f>
        <v>0</v>
      </c>
      <c r="Z29" s="2798">
        <f>'(0) 3c. Cuadro Renting y L'!$D$27-'Aux.4.0.Leasing Inicial'!B29</f>
        <v>0</v>
      </c>
      <c r="AA29" s="2798">
        <f>'(0) 3c. Cuadro Renting y L'!$D$28-'Aux.4.0.Leasing Inicial'!B30</f>
        <v>0</v>
      </c>
      <c r="AB29" s="2798">
        <f>'(0) 3c. Cuadro Renting y L'!$D$29-'Aux.4.0.Leasing Inicial'!B31</f>
        <v>0</v>
      </c>
      <c r="AC29" s="2798">
        <f>'(0) 3c. Cuadro Renting y L'!$D$30-'Aux.4.0.Leasing Inicial'!B32</f>
        <v>0</v>
      </c>
      <c r="AD29" s="2798">
        <f>'(0) 3c. Cuadro Renting y L'!$D$31-'Aux.4.0.Leasing Inicial'!B33</f>
        <v>0</v>
      </c>
      <c r="AE29" s="2270">
        <f>'(0) 3c. Cuadro Renting y L'!$D$32-'Aux.4.0.Leasing Inicial'!B34</f>
        <v>0</v>
      </c>
      <c r="AF29" s="676">
        <f t="shared" si="19"/>
        <v>0</v>
      </c>
    </row>
    <row r="30" spans="1:32" s="671" customFormat="1" ht="23.25" customHeight="1">
      <c r="A30" s="2355" t="s">
        <v>450</v>
      </c>
      <c r="B30" s="2174"/>
      <c r="C30" s="2259">
        <f>('(0) 1a. Activos de Partida'!B30+('(0) 3c. Cuadro Renting y L'!R21+'(0) 3c. Cuadro Renting y L'!J21)+('(0) 3b. Préstam Financ.'!R22+'(0) 3b. Préstam Financ.'!J22+'(0) 3b. Préstam Financ.'!K22)+('(0) 3a. Préstam Particip.'!I22+'(0) 3a. Préstam Particip.'!J22))</f>
        <v>0</v>
      </c>
      <c r="D30" s="2799"/>
      <c r="E30" s="2799"/>
      <c r="F30" s="2799"/>
      <c r="G30" s="2799"/>
      <c r="H30" s="2799"/>
      <c r="I30" s="2799"/>
      <c r="J30" s="2799"/>
      <c r="K30" s="2799"/>
      <c r="L30" s="2799"/>
      <c r="M30" s="2799"/>
      <c r="N30" s="2271"/>
      <c r="O30" s="676">
        <f t="shared" si="20"/>
        <v>0</v>
      </c>
      <c r="P30" s="1013"/>
      <c r="Q30" s="2217"/>
      <c r="R30" s="674"/>
      <c r="S30" s="2224"/>
      <c r="T30" s="2279">
        <f>'(0) 3a. Préstam Particip.'!K22+'(0) 3b. Préstam Financ.'!L22+'(0) 3c. Cuadro Renting y L'!K21</f>
        <v>0</v>
      </c>
      <c r="U30" s="2799"/>
      <c r="V30" s="2799"/>
      <c r="W30" s="2799"/>
      <c r="X30" s="2799"/>
      <c r="Y30" s="2799"/>
      <c r="Z30" s="2799"/>
      <c r="AA30" s="2799"/>
      <c r="AB30" s="2799"/>
      <c r="AC30" s="2799"/>
      <c r="AD30" s="2799"/>
      <c r="AE30" s="2271"/>
      <c r="AF30" s="676">
        <f t="shared" si="19"/>
        <v>0</v>
      </c>
    </row>
    <row r="31" spans="1:32" s="671" customFormat="1" ht="23.25" customHeight="1">
      <c r="A31" s="2200" t="s">
        <v>113</v>
      </c>
      <c r="B31" s="2178"/>
      <c r="C31" s="2255">
        <f t="shared" ref="C31:N31" si="24">C13-SUM(C14:C30)</f>
        <v>0</v>
      </c>
      <c r="D31" s="2793">
        <f t="shared" si="24"/>
        <v>0</v>
      </c>
      <c r="E31" s="2793">
        <f t="shared" si="24"/>
        <v>0</v>
      </c>
      <c r="F31" s="2793">
        <f t="shared" si="24"/>
        <v>0</v>
      </c>
      <c r="G31" s="2793">
        <f t="shared" si="24"/>
        <v>0</v>
      </c>
      <c r="H31" s="2793">
        <f t="shared" si="24"/>
        <v>0</v>
      </c>
      <c r="I31" s="2793">
        <f t="shared" si="24"/>
        <v>0</v>
      </c>
      <c r="J31" s="2793">
        <f t="shared" si="24"/>
        <v>0</v>
      </c>
      <c r="K31" s="2793">
        <f t="shared" si="24"/>
        <v>0</v>
      </c>
      <c r="L31" s="2793">
        <f t="shared" si="24"/>
        <v>0</v>
      </c>
      <c r="M31" s="2793">
        <f t="shared" si="24"/>
        <v>0</v>
      </c>
      <c r="N31" s="2264">
        <f t="shared" si="24"/>
        <v>0</v>
      </c>
      <c r="O31" s="2188">
        <f t="shared" si="20"/>
        <v>0</v>
      </c>
      <c r="P31" s="1013"/>
      <c r="Q31" s="2217"/>
      <c r="T31" s="2275">
        <f t="shared" ref="T31:AE31" si="25">T13-SUM(T14:T30)</f>
        <v>0</v>
      </c>
      <c r="U31" s="2793">
        <f t="shared" si="25"/>
        <v>0</v>
      </c>
      <c r="V31" s="2793">
        <f t="shared" si="25"/>
        <v>0</v>
      </c>
      <c r="W31" s="2793">
        <f t="shared" si="25"/>
        <v>0</v>
      </c>
      <c r="X31" s="2793">
        <f t="shared" si="25"/>
        <v>0</v>
      </c>
      <c r="Y31" s="2793">
        <f t="shared" si="25"/>
        <v>0</v>
      </c>
      <c r="Z31" s="2793">
        <f t="shared" si="25"/>
        <v>0</v>
      </c>
      <c r="AA31" s="2793">
        <f t="shared" si="25"/>
        <v>0</v>
      </c>
      <c r="AB31" s="2793">
        <f t="shared" si="25"/>
        <v>0</v>
      </c>
      <c r="AC31" s="2793">
        <f t="shared" si="25"/>
        <v>0</v>
      </c>
      <c r="AD31" s="2793">
        <f t="shared" si="25"/>
        <v>0</v>
      </c>
      <c r="AE31" s="2264">
        <f t="shared" si="25"/>
        <v>0</v>
      </c>
      <c r="AF31" s="2188">
        <f t="shared" si="19"/>
        <v>0</v>
      </c>
    </row>
    <row r="32" spans="1:32" s="673" customFormat="1" ht="23.25" customHeight="1">
      <c r="A32" s="2353" t="s">
        <v>30</v>
      </c>
      <c r="B32" s="2173"/>
      <c r="C32" s="2261">
        <f>'Aux. Amortiz Contable'!$I$27/12</f>
        <v>0</v>
      </c>
      <c r="D32" s="2800">
        <f>'Aux. Amortiz Contable'!$I$27/12</f>
        <v>0</v>
      </c>
      <c r="E32" s="2800">
        <f>'Aux. Amortiz Contable'!$I$27/12</f>
        <v>0</v>
      </c>
      <c r="F32" s="2800">
        <f>'Aux. Amortiz Contable'!$I$27/12</f>
        <v>0</v>
      </c>
      <c r="G32" s="2800">
        <f>'Aux. Amortiz Contable'!$I$27/12</f>
        <v>0</v>
      </c>
      <c r="H32" s="2800">
        <f>'Aux. Amortiz Contable'!$I$27/12</f>
        <v>0</v>
      </c>
      <c r="I32" s="2800">
        <f>'Aux. Amortiz Contable'!$I$27/12</f>
        <v>0</v>
      </c>
      <c r="J32" s="2800">
        <f>'Aux. Amortiz Contable'!$I$27/12</f>
        <v>0</v>
      </c>
      <c r="K32" s="2800">
        <f>'Aux. Amortiz Contable'!$I$27/12</f>
        <v>0</v>
      </c>
      <c r="L32" s="2800">
        <f>'Aux. Amortiz Contable'!$I$27/12</f>
        <v>0</v>
      </c>
      <c r="M32" s="2800">
        <f>'Aux. Amortiz Contable'!$I$27/12</f>
        <v>0</v>
      </c>
      <c r="N32" s="2272">
        <f>'Aux. Amortiz Contable'!$I$27/12</f>
        <v>0</v>
      </c>
      <c r="O32" s="676">
        <f t="shared" si="20"/>
        <v>0</v>
      </c>
      <c r="P32" s="1013"/>
      <c r="Q32" s="2217"/>
      <c r="S32" s="1129"/>
      <c r="T32" s="2281">
        <f>'Aux. Amortiz Contable'!$K$27/12</f>
        <v>0</v>
      </c>
      <c r="U32" s="2800">
        <f>'Aux. Amortiz Contable'!$K$27/12</f>
        <v>0</v>
      </c>
      <c r="V32" s="2800">
        <f>'Aux. Amortiz Contable'!$K$27/12</f>
        <v>0</v>
      </c>
      <c r="W32" s="2800">
        <f>'Aux. Amortiz Contable'!$K$27/12</f>
        <v>0</v>
      </c>
      <c r="X32" s="2800">
        <f>'Aux. Amortiz Contable'!$K$27/12</f>
        <v>0</v>
      </c>
      <c r="Y32" s="2800">
        <f>'Aux. Amortiz Contable'!$K$27/12</f>
        <v>0</v>
      </c>
      <c r="Z32" s="2800">
        <f>'Aux. Amortiz Contable'!$K$27/12</f>
        <v>0</v>
      </c>
      <c r="AA32" s="2800">
        <f>'Aux. Amortiz Contable'!$K$27/12</f>
        <v>0</v>
      </c>
      <c r="AB32" s="2800">
        <f>'Aux. Amortiz Contable'!$K$27/12</f>
        <v>0</v>
      </c>
      <c r="AC32" s="2800">
        <f>'Aux. Amortiz Contable'!$K$27/12</f>
        <v>0</v>
      </c>
      <c r="AD32" s="2800">
        <f>'Aux. Amortiz Contable'!$K$27/12</f>
        <v>0</v>
      </c>
      <c r="AE32" s="2272">
        <f>'Aux. Amortiz Contable'!$K$27/12</f>
        <v>0</v>
      </c>
      <c r="AF32" s="676">
        <f t="shared" si="19"/>
        <v>0</v>
      </c>
    </row>
    <row r="33" spans="1:32" s="673" customFormat="1" ht="23.25" customHeight="1">
      <c r="A33" s="2356" t="s">
        <v>114</v>
      </c>
      <c r="B33" s="2178"/>
      <c r="C33" s="2262">
        <f t="shared" ref="C33:N33" si="26">SUM(C14:C30)+C32</f>
        <v>0</v>
      </c>
      <c r="D33" s="2801">
        <f t="shared" si="26"/>
        <v>0</v>
      </c>
      <c r="E33" s="2801">
        <f t="shared" si="26"/>
        <v>0</v>
      </c>
      <c r="F33" s="2801">
        <f t="shared" si="26"/>
        <v>0</v>
      </c>
      <c r="G33" s="2801">
        <f t="shared" si="26"/>
        <v>0</v>
      </c>
      <c r="H33" s="2801">
        <f t="shared" si="26"/>
        <v>0</v>
      </c>
      <c r="I33" s="2801">
        <f t="shared" si="26"/>
        <v>0</v>
      </c>
      <c r="J33" s="2801">
        <f t="shared" si="26"/>
        <v>0</v>
      </c>
      <c r="K33" s="2801">
        <f t="shared" si="26"/>
        <v>0</v>
      </c>
      <c r="L33" s="2801">
        <f t="shared" si="26"/>
        <v>0</v>
      </c>
      <c r="M33" s="2801">
        <f t="shared" si="26"/>
        <v>0</v>
      </c>
      <c r="N33" s="2273">
        <f t="shared" si="26"/>
        <v>0</v>
      </c>
      <c r="O33" s="676">
        <f t="shared" si="20"/>
        <v>0</v>
      </c>
      <c r="P33" s="1013"/>
      <c r="Q33" s="2217"/>
      <c r="T33" s="2282">
        <f t="shared" ref="T33:AE33" si="27">SUM(T14:T30)+T32</f>
        <v>0</v>
      </c>
      <c r="U33" s="2801">
        <f t="shared" si="27"/>
        <v>0</v>
      </c>
      <c r="V33" s="2801">
        <f t="shared" si="27"/>
        <v>0</v>
      </c>
      <c r="W33" s="2801">
        <f t="shared" si="27"/>
        <v>0</v>
      </c>
      <c r="X33" s="2801">
        <f t="shared" si="27"/>
        <v>0</v>
      </c>
      <c r="Y33" s="2801">
        <f t="shared" si="27"/>
        <v>0</v>
      </c>
      <c r="Z33" s="2801">
        <f t="shared" si="27"/>
        <v>0</v>
      </c>
      <c r="AA33" s="2801">
        <f t="shared" si="27"/>
        <v>0</v>
      </c>
      <c r="AB33" s="2801">
        <f t="shared" si="27"/>
        <v>0</v>
      </c>
      <c r="AC33" s="2801">
        <f t="shared" si="27"/>
        <v>0</v>
      </c>
      <c r="AD33" s="2801">
        <f t="shared" si="27"/>
        <v>0</v>
      </c>
      <c r="AE33" s="2273">
        <f t="shared" si="27"/>
        <v>0</v>
      </c>
      <c r="AF33" s="676">
        <f t="shared" si="19"/>
        <v>0</v>
      </c>
    </row>
    <row r="34" spans="1:32" s="673" customFormat="1" ht="23.25" customHeight="1">
      <c r="A34" s="2200" t="s">
        <v>115</v>
      </c>
      <c r="B34" s="2178"/>
      <c r="C34" s="2255">
        <f t="shared" ref="C34:N34" si="28">C13-C33</f>
        <v>0</v>
      </c>
      <c r="D34" s="2793">
        <f t="shared" si="28"/>
        <v>0</v>
      </c>
      <c r="E34" s="2793">
        <f t="shared" si="28"/>
        <v>0</v>
      </c>
      <c r="F34" s="2793">
        <f t="shared" si="28"/>
        <v>0</v>
      </c>
      <c r="G34" s="2793">
        <f t="shared" si="28"/>
        <v>0</v>
      </c>
      <c r="H34" s="2793">
        <f t="shared" si="28"/>
        <v>0</v>
      </c>
      <c r="I34" s="2793">
        <f t="shared" si="28"/>
        <v>0</v>
      </c>
      <c r="J34" s="2793">
        <f t="shared" si="28"/>
        <v>0</v>
      </c>
      <c r="K34" s="2793">
        <f t="shared" si="28"/>
        <v>0</v>
      </c>
      <c r="L34" s="2793">
        <f t="shared" si="28"/>
        <v>0</v>
      </c>
      <c r="M34" s="2793">
        <f t="shared" si="28"/>
        <v>0</v>
      </c>
      <c r="N34" s="2264">
        <f t="shared" si="28"/>
        <v>0</v>
      </c>
      <c r="O34" s="2188">
        <f t="shared" si="2"/>
        <v>0</v>
      </c>
      <c r="P34" s="1013"/>
      <c r="Q34" s="2217"/>
      <c r="T34" s="2275">
        <f t="shared" ref="T34:AE34" si="29">T13-T33</f>
        <v>0</v>
      </c>
      <c r="U34" s="2793">
        <f t="shared" si="29"/>
        <v>0</v>
      </c>
      <c r="V34" s="2793">
        <f t="shared" si="29"/>
        <v>0</v>
      </c>
      <c r="W34" s="2793">
        <f t="shared" si="29"/>
        <v>0</v>
      </c>
      <c r="X34" s="2793">
        <f t="shared" si="29"/>
        <v>0</v>
      </c>
      <c r="Y34" s="2793">
        <f t="shared" si="29"/>
        <v>0</v>
      </c>
      <c r="Z34" s="2793">
        <f t="shared" si="29"/>
        <v>0</v>
      </c>
      <c r="AA34" s="2793">
        <f t="shared" si="29"/>
        <v>0</v>
      </c>
      <c r="AB34" s="2793">
        <f t="shared" si="29"/>
        <v>0</v>
      </c>
      <c r="AC34" s="2793">
        <f t="shared" si="29"/>
        <v>0</v>
      </c>
      <c r="AD34" s="2793">
        <f t="shared" si="29"/>
        <v>0</v>
      </c>
      <c r="AE34" s="2264">
        <f t="shared" si="29"/>
        <v>0</v>
      </c>
      <c r="AF34" s="2188">
        <f t="shared" si="19"/>
        <v>0</v>
      </c>
    </row>
    <row r="35" spans="1:32" s="671" customFormat="1" ht="23.25" customHeight="1">
      <c r="A35" s="2352" t="s">
        <v>31</v>
      </c>
      <c r="B35" s="2173"/>
      <c r="C35" s="2257">
        <f>'(0) 3b. Préstam Financ.'!E9+'(0) 3c. Cuadro Renting y L'!E9*0+'2.Ventas y Cobros (Ej 1º,2º)'!D81+'8. Tesorería (Ej 1º,2º)'!C65+('(0) 3a. Préstam Particip.'!E9)+'Aux.4.0.Leasing Inicial'!C11</f>
        <v>0</v>
      </c>
      <c r="D35" s="2792">
        <f>'(0) 3b. Préstam Financ.'!E10+'(0) 3c. Cuadro Renting y L'!E10*0+'2.Ventas y Cobros (Ej 1º,2º)'!E81+'8. Tesorería (Ej 1º,2º)'!D65+('(0) 3a. Préstam Particip.'!E10)+'Aux.4.0.Leasing Inicial'!C12</f>
        <v>0</v>
      </c>
      <c r="E35" s="2792">
        <f>'(0) 3b. Préstam Financ.'!E11+'(0) 3c. Cuadro Renting y L'!E11*0+'2.Ventas y Cobros (Ej 1º,2º)'!F81+'8. Tesorería (Ej 1º,2º)'!E65+('(0) 3a. Préstam Particip.'!E11)+'Aux.4.0.Leasing Inicial'!C13</f>
        <v>0</v>
      </c>
      <c r="F35" s="2792">
        <f>'(0) 3b. Préstam Financ.'!E12+'(0) 3c. Cuadro Renting y L'!E12*0+'2.Ventas y Cobros (Ej 1º,2º)'!G81+'8. Tesorería (Ej 1º,2º)'!F65+('(0) 3a. Préstam Particip.'!E12)+'Aux.4.0.Leasing Inicial'!C14</f>
        <v>0</v>
      </c>
      <c r="G35" s="2792">
        <f>'(0) 3b. Préstam Financ.'!E13+'(0) 3c. Cuadro Renting y L'!E13*0+'2.Ventas y Cobros (Ej 1º,2º)'!H81+'8. Tesorería (Ej 1º,2º)'!G65+('(0) 3a. Préstam Particip.'!E13)+'Aux.4.0.Leasing Inicial'!C15</f>
        <v>0</v>
      </c>
      <c r="H35" s="2792">
        <f>'(0) 3b. Préstam Financ.'!E14+'(0) 3c. Cuadro Renting y L'!E14*0+'2.Ventas y Cobros (Ej 1º,2º)'!I81+'8. Tesorería (Ej 1º,2º)'!H65+('(0) 3a. Préstam Particip.'!E14)+'Aux.4.0.Leasing Inicial'!C16</f>
        <v>0</v>
      </c>
      <c r="I35" s="2792">
        <f>'(0) 3b. Préstam Financ.'!E15+'(0) 3c. Cuadro Renting y L'!E15*0+'2.Ventas y Cobros (Ej 1º,2º)'!J81+'8. Tesorería (Ej 1º,2º)'!I65+('(0) 3a. Préstam Particip.'!E15)+'Aux.4.0.Leasing Inicial'!C17</f>
        <v>0</v>
      </c>
      <c r="J35" s="2792">
        <f>'(0) 3b. Préstam Financ.'!E16+'(0) 3c. Cuadro Renting y L'!E16*0+'2.Ventas y Cobros (Ej 1º,2º)'!K81+'8. Tesorería (Ej 1º,2º)'!J65+('(0) 3a. Préstam Particip.'!E16)+'Aux.4.0.Leasing Inicial'!C18</f>
        <v>0</v>
      </c>
      <c r="K35" s="2792">
        <f>'(0) 3b. Préstam Financ.'!E17+'(0) 3c. Cuadro Renting y L'!E17*0+'2.Ventas y Cobros (Ej 1º,2º)'!L81+'8. Tesorería (Ej 1º,2º)'!K65+('(0) 3a. Préstam Particip.'!E17)+'Aux.4.0.Leasing Inicial'!C19</f>
        <v>0</v>
      </c>
      <c r="L35" s="2792">
        <f>'(0) 3b. Préstam Financ.'!E18+'(0) 3c. Cuadro Renting y L'!E18*0+'2.Ventas y Cobros (Ej 1º,2º)'!M81+'8. Tesorería (Ej 1º,2º)'!L65+('(0) 3a. Préstam Particip.'!E18)+'Aux.4.0.Leasing Inicial'!C20</f>
        <v>0</v>
      </c>
      <c r="M35" s="2792">
        <f>'(0) 3b. Préstam Financ.'!E19+'(0) 3c. Cuadro Renting y L'!E19*0+'2.Ventas y Cobros (Ej 1º,2º)'!N81+'8. Tesorería (Ej 1º,2º)'!M65+('(0) 3a. Préstam Particip.'!E19)+'Aux.4.0.Leasing Inicial'!C21</f>
        <v>0</v>
      </c>
      <c r="N35" s="2266">
        <f>'(0) 3b. Préstam Financ.'!E20+'(0) 3c. Cuadro Renting y L'!E20*0+'2.Ventas y Cobros (Ej 1º,2º)'!O81+'8. Tesorería (Ej 1º,2º)'!N65+('(0) 3a. Préstam Particip.'!E20)+'Aux.4.0.Leasing Inicial'!C22</f>
        <v>0</v>
      </c>
      <c r="O35" s="676">
        <f t="shared" si="2"/>
        <v>0</v>
      </c>
      <c r="P35" s="1013"/>
      <c r="Q35" s="2217"/>
      <c r="R35" s="674"/>
      <c r="S35" s="674"/>
      <c r="T35" s="2277">
        <f>'(0) 3b. Préstam Financ.'!$E$21+'(0) 3c. Cuadro Renting y L'!$E$21*0+'2.Ventas y Cobros (Ej 1º,2º)'!W81+'8. Tesorería (Ej 1º,2º)'!T65+('(0) 3a. Préstam Particip.'!$E$21)+'Aux.4.0.Leasing Inicial'!C23</f>
        <v>0</v>
      </c>
      <c r="U35" s="2792">
        <f>'(0) 3b. Préstam Financ.'!$E$22+'(0) 3c. Cuadro Renting y L'!$E$22*0+'2.Ventas y Cobros (Ej 1º,2º)'!X81+'8. Tesorería (Ej 1º,2º)'!U65+('(0) 3a. Préstam Particip.'!$E$22)+'Aux.4.0.Leasing Inicial'!C24</f>
        <v>0</v>
      </c>
      <c r="V35" s="2792">
        <f>'(0) 3b. Préstam Financ.'!$E$23+'(0) 3c. Cuadro Renting y L'!$E$23*0+'2.Ventas y Cobros (Ej 1º,2º)'!Y81+'8. Tesorería (Ej 1º,2º)'!V65+('(0) 3a. Préstam Particip.'!$E$23)+'Aux.4.0.Leasing Inicial'!C25</f>
        <v>0</v>
      </c>
      <c r="W35" s="2792">
        <f>'(0) 3b. Préstam Financ.'!$E$24+'(0) 3c. Cuadro Renting y L'!$E$24*0+'2.Ventas y Cobros (Ej 1º,2º)'!Z81+'8. Tesorería (Ej 1º,2º)'!W65+('(0) 3a. Préstam Particip.'!$E$24)+'Aux.4.0.Leasing Inicial'!C26</f>
        <v>0</v>
      </c>
      <c r="X35" s="2792">
        <f>'(0) 3b. Préstam Financ.'!$E$25+'(0) 3c. Cuadro Renting y L'!$E$25*0+'2.Ventas y Cobros (Ej 1º,2º)'!AA81+'8. Tesorería (Ej 1º,2º)'!X65+('(0) 3a. Préstam Particip.'!$E$25)+'Aux.4.0.Leasing Inicial'!C27</f>
        <v>0</v>
      </c>
      <c r="Y35" s="2792">
        <f>'(0) 3b. Préstam Financ.'!$E$26+'(0) 3c. Cuadro Renting y L'!$E$26*0+'2.Ventas y Cobros (Ej 1º,2º)'!AB81+'8. Tesorería (Ej 1º,2º)'!Y65+('(0) 3a. Préstam Particip.'!$E$26)+'Aux.4.0.Leasing Inicial'!C28</f>
        <v>0</v>
      </c>
      <c r="Z35" s="2792">
        <f>'(0) 3b. Préstam Financ.'!$E$27+'(0) 3c. Cuadro Renting y L'!$E$27*0+'2.Ventas y Cobros (Ej 1º,2º)'!AC81+'8. Tesorería (Ej 1º,2º)'!Z65+('(0) 3a. Préstam Particip.'!$E$27)+'Aux.4.0.Leasing Inicial'!C29</f>
        <v>0</v>
      </c>
      <c r="AA35" s="2792">
        <f>'(0) 3b. Préstam Financ.'!$E$28+'(0) 3c. Cuadro Renting y L'!$E$28*0+'2.Ventas y Cobros (Ej 1º,2º)'!AD81+'8. Tesorería (Ej 1º,2º)'!AA65+('(0) 3a. Préstam Particip.'!$E$28)+'Aux.4.0.Leasing Inicial'!C30</f>
        <v>0</v>
      </c>
      <c r="AB35" s="2792">
        <f>'(0) 3b. Préstam Financ.'!$E$29+'(0) 3c. Cuadro Renting y L'!$E$29*0+'2.Ventas y Cobros (Ej 1º,2º)'!AE81+'8. Tesorería (Ej 1º,2º)'!AB65+('(0) 3a. Préstam Particip.'!$E$29)+'Aux.4.0.Leasing Inicial'!C31</f>
        <v>0</v>
      </c>
      <c r="AC35" s="2792">
        <f>'(0) 3b. Préstam Financ.'!$E$30+'(0) 3c. Cuadro Renting y L'!$E$30*0+'2.Ventas y Cobros (Ej 1º,2º)'!AF81+'8. Tesorería (Ej 1º,2º)'!AC65+('(0) 3a. Préstam Particip.'!$E$30)+'Aux.4.0.Leasing Inicial'!C32</f>
        <v>0</v>
      </c>
      <c r="AD35" s="2792">
        <f>'(0) 3b. Préstam Financ.'!$E$31+'(0) 3c. Cuadro Renting y L'!$E$31*0+'2.Ventas y Cobros (Ej 1º,2º)'!AG81+'8. Tesorería (Ej 1º,2º)'!AD65+('(0) 3a. Préstam Particip.'!$E$31)+'Aux.4.0.Leasing Inicial'!C33</f>
        <v>0</v>
      </c>
      <c r="AE35" s="2266">
        <f>'(0) 3b. Préstam Financ.'!$E$32+'(0) 3c. Cuadro Renting y L'!$E$32*0+'2.Ventas y Cobros (Ej 1º,2º)'!AH81+'8. Tesorería (Ej 1º,2º)'!AE65+('(0) 3a. Préstam Particip.'!$E$32)+'Aux.4.0.Leasing Inicial'!C34</f>
        <v>0</v>
      </c>
      <c r="AF35" s="676">
        <f t="shared" si="19"/>
        <v>0</v>
      </c>
    </row>
    <row r="36" spans="1:32" s="673" customFormat="1" ht="23.25" customHeight="1">
      <c r="A36" s="2356" t="s">
        <v>32</v>
      </c>
      <c r="B36" s="2178"/>
      <c r="C36" s="2262">
        <f>-C35</f>
        <v>0</v>
      </c>
      <c r="D36" s="2801">
        <f>-D35</f>
        <v>0</v>
      </c>
      <c r="E36" s="2801">
        <f>-E35</f>
        <v>0</v>
      </c>
      <c r="F36" s="2801">
        <f>-F35</f>
        <v>0</v>
      </c>
      <c r="G36" s="2801">
        <f t="shared" ref="G36:N36" si="30">-G35</f>
        <v>0</v>
      </c>
      <c r="H36" s="2801">
        <f t="shared" si="30"/>
        <v>0</v>
      </c>
      <c r="I36" s="2801">
        <f t="shared" si="30"/>
        <v>0</v>
      </c>
      <c r="J36" s="2801">
        <f t="shared" si="30"/>
        <v>0</v>
      </c>
      <c r="K36" s="2801">
        <f t="shared" si="30"/>
        <v>0</v>
      </c>
      <c r="L36" s="2801">
        <f t="shared" si="30"/>
        <v>0</v>
      </c>
      <c r="M36" s="2801">
        <f t="shared" si="30"/>
        <v>0</v>
      </c>
      <c r="N36" s="2273">
        <f t="shared" si="30"/>
        <v>0</v>
      </c>
      <c r="O36" s="676">
        <f t="shared" si="2"/>
        <v>0</v>
      </c>
      <c r="P36" s="1013"/>
      <c r="Q36" s="2217"/>
      <c r="T36" s="2282">
        <f>-T35</f>
        <v>0</v>
      </c>
      <c r="U36" s="2801">
        <f>-U35</f>
        <v>0</v>
      </c>
      <c r="V36" s="2801">
        <f t="shared" ref="V36:AE36" si="31">-V35</f>
        <v>0</v>
      </c>
      <c r="W36" s="2801">
        <f t="shared" si="31"/>
        <v>0</v>
      </c>
      <c r="X36" s="2801">
        <f t="shared" si="31"/>
        <v>0</v>
      </c>
      <c r="Y36" s="2801">
        <f t="shared" si="31"/>
        <v>0</v>
      </c>
      <c r="Z36" s="2801">
        <f t="shared" si="31"/>
        <v>0</v>
      </c>
      <c r="AA36" s="2801">
        <f t="shared" si="31"/>
        <v>0</v>
      </c>
      <c r="AB36" s="2801">
        <f t="shared" si="31"/>
        <v>0</v>
      </c>
      <c r="AC36" s="2801">
        <f t="shared" si="31"/>
        <v>0</v>
      </c>
      <c r="AD36" s="2801">
        <f t="shared" si="31"/>
        <v>0</v>
      </c>
      <c r="AE36" s="2273">
        <f t="shared" si="31"/>
        <v>0</v>
      </c>
      <c r="AF36" s="676">
        <f t="shared" si="19"/>
        <v>0</v>
      </c>
    </row>
    <row r="37" spans="1:32" s="673" customFormat="1" ht="23.25" customHeight="1">
      <c r="A37" s="2356" t="s">
        <v>217</v>
      </c>
      <c r="B37" s="2178"/>
      <c r="C37" s="2262">
        <f t="shared" ref="C37:N37" si="32">C34+C36</f>
        <v>0</v>
      </c>
      <c r="D37" s="2801">
        <f t="shared" si="32"/>
        <v>0</v>
      </c>
      <c r="E37" s="2801">
        <f t="shared" si="32"/>
        <v>0</v>
      </c>
      <c r="F37" s="2801">
        <f t="shared" si="32"/>
        <v>0</v>
      </c>
      <c r="G37" s="2801">
        <f t="shared" si="32"/>
        <v>0</v>
      </c>
      <c r="H37" s="2801">
        <f t="shared" si="32"/>
        <v>0</v>
      </c>
      <c r="I37" s="2801">
        <f t="shared" si="32"/>
        <v>0</v>
      </c>
      <c r="J37" s="2801">
        <f t="shared" si="32"/>
        <v>0</v>
      </c>
      <c r="K37" s="2801">
        <f t="shared" si="32"/>
        <v>0</v>
      </c>
      <c r="L37" s="2801">
        <f t="shared" si="32"/>
        <v>0</v>
      </c>
      <c r="M37" s="2801">
        <f t="shared" si="32"/>
        <v>0</v>
      </c>
      <c r="N37" s="2273">
        <f t="shared" si="32"/>
        <v>0</v>
      </c>
      <c r="O37" s="676">
        <f t="shared" si="2"/>
        <v>0</v>
      </c>
      <c r="P37" s="1013"/>
      <c r="Q37" s="2217"/>
      <c r="T37" s="2282">
        <f t="shared" ref="T37:AE37" si="33">T34+T36</f>
        <v>0</v>
      </c>
      <c r="U37" s="2801">
        <f t="shared" si="33"/>
        <v>0</v>
      </c>
      <c r="V37" s="2801">
        <f t="shared" si="33"/>
        <v>0</v>
      </c>
      <c r="W37" s="2801">
        <f t="shared" si="33"/>
        <v>0</v>
      </c>
      <c r="X37" s="2801">
        <f t="shared" si="33"/>
        <v>0</v>
      </c>
      <c r="Y37" s="2801">
        <f t="shared" si="33"/>
        <v>0</v>
      </c>
      <c r="Z37" s="2801">
        <f t="shared" si="33"/>
        <v>0</v>
      </c>
      <c r="AA37" s="2801">
        <f t="shared" si="33"/>
        <v>0</v>
      </c>
      <c r="AB37" s="2801">
        <f t="shared" si="33"/>
        <v>0</v>
      </c>
      <c r="AC37" s="2801">
        <f t="shared" si="33"/>
        <v>0</v>
      </c>
      <c r="AD37" s="2801">
        <f t="shared" si="33"/>
        <v>0</v>
      </c>
      <c r="AE37" s="2273">
        <f t="shared" si="33"/>
        <v>0</v>
      </c>
      <c r="AF37" s="676">
        <f t="shared" si="19"/>
        <v>0</v>
      </c>
    </row>
    <row r="38" spans="1:32" s="671" customFormat="1" ht="23.25" customHeight="1">
      <c r="A38" s="2352" t="s">
        <v>588</v>
      </c>
      <c r="B38" s="2173"/>
      <c r="C38" s="2258">
        <f>('7. Plan Invers-Financ (1º,2º)'!AA43+'7. Plan Invers-Financ (1º,2º)'!AA44)-'7. Plan Invers-Financ (1º,2º)'!AA53</f>
        <v>0</v>
      </c>
      <c r="D38" s="2794"/>
      <c r="E38" s="2794"/>
      <c r="F38" s="2794"/>
      <c r="G38" s="2794"/>
      <c r="H38" s="2794"/>
      <c r="I38" s="2794"/>
      <c r="J38" s="2794"/>
      <c r="K38" s="2794"/>
      <c r="L38" s="2794"/>
      <c r="M38" s="2794"/>
      <c r="N38" s="2267"/>
      <c r="O38" s="676">
        <f t="shared" si="2"/>
        <v>0</v>
      </c>
      <c r="P38" s="1013"/>
      <c r="Q38" s="2217"/>
      <c r="R38" s="674"/>
      <c r="T38" s="2278">
        <f>('7. Plan Invers-Financ (1º,2º)'!AL43+'7. Plan Invers-Financ (1º,2º)'!AL44)-'7. Plan Invers-Financ (1º,2º)'!AL53</f>
        <v>0</v>
      </c>
      <c r="U38" s="2794"/>
      <c r="V38" s="2794"/>
      <c r="W38" s="2794"/>
      <c r="X38" s="2794"/>
      <c r="Y38" s="2794"/>
      <c r="Z38" s="2794"/>
      <c r="AA38" s="2794"/>
      <c r="AB38" s="2794"/>
      <c r="AC38" s="2794"/>
      <c r="AD38" s="2794"/>
      <c r="AE38" s="2267"/>
      <c r="AF38" s="676">
        <f t="shared" si="19"/>
        <v>0</v>
      </c>
    </row>
    <row r="39" spans="1:32" s="671" customFormat="1" ht="23.25" hidden="1" customHeight="1">
      <c r="A39" s="2357" t="s">
        <v>589</v>
      </c>
      <c r="B39" s="2173"/>
      <c r="C39" s="2258"/>
      <c r="D39" s="2794"/>
      <c r="E39" s="2794"/>
      <c r="F39" s="2794"/>
      <c r="G39" s="2794"/>
      <c r="H39" s="2794"/>
      <c r="I39" s="2794"/>
      <c r="J39" s="2794"/>
      <c r="K39" s="2794"/>
      <c r="L39" s="2794"/>
      <c r="M39" s="2794"/>
      <c r="N39" s="2267"/>
      <c r="O39" s="676">
        <f t="shared" si="2"/>
        <v>0</v>
      </c>
      <c r="P39" s="1013"/>
      <c r="Q39" s="2217"/>
      <c r="R39" s="674"/>
      <c r="T39" s="2283"/>
      <c r="U39" s="2803"/>
      <c r="V39" s="2803"/>
      <c r="W39" s="2803"/>
      <c r="X39" s="2803"/>
      <c r="Y39" s="2803"/>
      <c r="Z39" s="2804"/>
      <c r="AA39" s="2804"/>
      <c r="AB39" s="2804"/>
      <c r="AC39" s="2803"/>
      <c r="AD39" s="2803"/>
      <c r="AE39" s="2285"/>
      <c r="AF39" s="676">
        <f t="shared" si="19"/>
        <v>0</v>
      </c>
    </row>
    <row r="40" spans="1:32" s="673" customFormat="1" ht="23.25" customHeight="1">
      <c r="A40" s="2200" t="s">
        <v>116</v>
      </c>
      <c r="B40" s="2178"/>
      <c r="C40" s="2255">
        <f t="shared" ref="C40:N40" si="34">C37+C38+C39</f>
        <v>0</v>
      </c>
      <c r="D40" s="2793">
        <f t="shared" si="34"/>
        <v>0</v>
      </c>
      <c r="E40" s="2793">
        <f t="shared" si="34"/>
        <v>0</v>
      </c>
      <c r="F40" s="2793">
        <f t="shared" si="34"/>
        <v>0</v>
      </c>
      <c r="G40" s="2793">
        <f t="shared" si="34"/>
        <v>0</v>
      </c>
      <c r="H40" s="2793">
        <f t="shared" si="34"/>
        <v>0</v>
      </c>
      <c r="I40" s="2793">
        <f t="shared" si="34"/>
        <v>0</v>
      </c>
      <c r="J40" s="2793">
        <f t="shared" si="34"/>
        <v>0</v>
      </c>
      <c r="K40" s="2793">
        <f t="shared" si="34"/>
        <v>0</v>
      </c>
      <c r="L40" s="2793">
        <f t="shared" si="34"/>
        <v>0</v>
      </c>
      <c r="M40" s="2793">
        <f t="shared" si="34"/>
        <v>0</v>
      </c>
      <c r="N40" s="2264">
        <f t="shared" si="34"/>
        <v>0</v>
      </c>
      <c r="O40" s="2188">
        <f t="shared" si="2"/>
        <v>0</v>
      </c>
      <c r="P40" s="1013"/>
      <c r="Q40" s="2217"/>
      <c r="T40" s="2275">
        <f t="shared" ref="T40:AE40" si="35">T37+T38+T39</f>
        <v>0</v>
      </c>
      <c r="U40" s="2793">
        <f t="shared" si="35"/>
        <v>0</v>
      </c>
      <c r="V40" s="2793">
        <f t="shared" si="35"/>
        <v>0</v>
      </c>
      <c r="W40" s="2793">
        <f t="shared" si="35"/>
        <v>0</v>
      </c>
      <c r="X40" s="2793">
        <f t="shared" si="35"/>
        <v>0</v>
      </c>
      <c r="Y40" s="2793">
        <f t="shared" si="35"/>
        <v>0</v>
      </c>
      <c r="Z40" s="2793">
        <f t="shared" si="35"/>
        <v>0</v>
      </c>
      <c r="AA40" s="2793">
        <f t="shared" si="35"/>
        <v>0</v>
      </c>
      <c r="AB40" s="2793">
        <f t="shared" si="35"/>
        <v>0</v>
      </c>
      <c r="AC40" s="2793">
        <f t="shared" si="35"/>
        <v>0</v>
      </c>
      <c r="AD40" s="2793">
        <f t="shared" si="35"/>
        <v>0</v>
      </c>
      <c r="AE40" s="2264">
        <f t="shared" si="35"/>
        <v>0</v>
      </c>
      <c r="AF40" s="2188">
        <f t="shared" si="19"/>
        <v>0</v>
      </c>
    </row>
    <row r="41" spans="1:32" s="673" customFormat="1" ht="23.25" customHeight="1" thickBot="1">
      <c r="A41" s="2202" t="s">
        <v>117</v>
      </c>
      <c r="B41" s="2178"/>
      <c r="C41" s="2263">
        <f>C40</f>
        <v>0</v>
      </c>
      <c r="D41" s="2802">
        <f>D40+C41</f>
        <v>0</v>
      </c>
      <c r="E41" s="2802">
        <f t="shared" ref="E41:N41" si="36">E40+D41</f>
        <v>0</v>
      </c>
      <c r="F41" s="2802">
        <f t="shared" si="36"/>
        <v>0</v>
      </c>
      <c r="G41" s="2802">
        <f t="shared" si="36"/>
        <v>0</v>
      </c>
      <c r="H41" s="2802">
        <f t="shared" si="36"/>
        <v>0</v>
      </c>
      <c r="I41" s="2802">
        <f t="shared" si="36"/>
        <v>0</v>
      </c>
      <c r="J41" s="2802">
        <f t="shared" si="36"/>
        <v>0</v>
      </c>
      <c r="K41" s="2802">
        <f t="shared" si="36"/>
        <v>0</v>
      </c>
      <c r="L41" s="2802">
        <f t="shared" si="36"/>
        <v>0</v>
      </c>
      <c r="M41" s="2802">
        <f t="shared" si="36"/>
        <v>0</v>
      </c>
      <c r="N41" s="2274">
        <f t="shared" si="36"/>
        <v>0</v>
      </c>
      <c r="O41" s="721"/>
      <c r="P41" s="1013"/>
      <c r="Q41" s="2217"/>
      <c r="T41" s="2284">
        <f>T40</f>
        <v>0</v>
      </c>
      <c r="U41" s="2802">
        <f t="shared" ref="U41:AE41" si="37">U40+T41</f>
        <v>0</v>
      </c>
      <c r="V41" s="2802">
        <f t="shared" si="37"/>
        <v>0</v>
      </c>
      <c r="W41" s="2802">
        <f t="shared" si="37"/>
        <v>0</v>
      </c>
      <c r="X41" s="2802">
        <f t="shared" si="37"/>
        <v>0</v>
      </c>
      <c r="Y41" s="2802">
        <f t="shared" si="37"/>
        <v>0</v>
      </c>
      <c r="Z41" s="2802">
        <f t="shared" si="37"/>
        <v>0</v>
      </c>
      <c r="AA41" s="2802">
        <f t="shared" si="37"/>
        <v>0</v>
      </c>
      <c r="AB41" s="2802">
        <f t="shared" si="37"/>
        <v>0</v>
      </c>
      <c r="AC41" s="2802">
        <f t="shared" si="37"/>
        <v>0</v>
      </c>
      <c r="AD41" s="2802">
        <f t="shared" si="37"/>
        <v>0</v>
      </c>
      <c r="AE41" s="2274">
        <f t="shared" si="37"/>
        <v>0</v>
      </c>
      <c r="AF41" s="721"/>
    </row>
    <row r="42" spans="1:32" s="671" customFormat="1" ht="18.95" customHeight="1" thickTop="1" thickBot="1">
      <c r="A42" s="681"/>
      <c r="B42" s="2179"/>
      <c r="C42" s="681"/>
      <c r="D42" s="681"/>
      <c r="E42" s="681"/>
      <c r="F42" s="681"/>
      <c r="G42" s="681"/>
      <c r="H42" s="681"/>
      <c r="I42" s="681"/>
      <c r="J42" s="681"/>
      <c r="K42" s="681"/>
      <c r="L42" s="681"/>
      <c r="M42" s="681"/>
      <c r="N42" s="681"/>
      <c r="O42" s="682"/>
      <c r="P42" s="2187"/>
      <c r="Q42" s="2211"/>
      <c r="T42" s="681"/>
      <c r="U42" s="681"/>
      <c r="V42" s="681"/>
      <c r="W42" s="681"/>
      <c r="X42" s="681"/>
      <c r="Y42" s="681"/>
      <c r="Z42" s="681"/>
      <c r="AA42" s="681"/>
      <c r="AB42" s="681"/>
      <c r="AC42" s="681"/>
      <c r="AD42" s="681"/>
      <c r="AE42" s="681"/>
      <c r="AF42" s="682"/>
    </row>
    <row r="43" spans="1:32" s="671" customFormat="1" ht="30.75" customHeight="1" thickTop="1" thickBot="1">
      <c r="A43" s="1927" t="s">
        <v>33</v>
      </c>
      <c r="B43" s="1027"/>
      <c r="C43" s="2189">
        <f>N41</f>
        <v>0</v>
      </c>
      <c r="D43" s="683"/>
      <c r="E43" s="1927" t="s">
        <v>189</v>
      </c>
      <c r="F43" s="1930"/>
      <c r="G43" s="1929"/>
      <c r="H43" s="2190">
        <f>IF(C43&gt;0,(C43*'1.Datos Básicos. Product-Serv'!B15),0)</f>
        <v>0</v>
      </c>
      <c r="I43" s="684"/>
      <c r="J43" s="1931" t="s">
        <v>34</v>
      </c>
      <c r="K43" s="1932"/>
      <c r="L43" s="2189">
        <f>IF(C43&gt;0,C43-H43,C43)</f>
        <v>0</v>
      </c>
      <c r="M43" s="681"/>
      <c r="N43" s="681"/>
      <c r="O43" s="682"/>
      <c r="P43" s="2187"/>
      <c r="Q43" s="2211"/>
      <c r="T43" s="1927" t="s">
        <v>33</v>
      </c>
      <c r="U43" s="1928"/>
      <c r="V43" s="1929"/>
      <c r="W43" s="2189">
        <f>AE41</f>
        <v>0</v>
      </c>
      <c r="Y43" s="1927" t="s">
        <v>189</v>
      </c>
      <c r="Z43" s="1930"/>
      <c r="AA43" s="1929"/>
      <c r="AB43" s="2190">
        <f>IF(W43&gt;0,(W43*'1.Datos Básicos. Product-Serv'!B15),0)</f>
        <v>0</v>
      </c>
      <c r="AD43" s="1931" t="s">
        <v>34</v>
      </c>
      <c r="AE43" s="1932"/>
      <c r="AF43" s="2189">
        <f>IF(W43&gt;0,W43-AB43,W43)</f>
        <v>0</v>
      </c>
    </row>
    <row r="44" spans="1:32" s="674" customFormat="1" ht="18.95" customHeight="1" thickTop="1">
      <c r="A44" s="1027"/>
      <c r="B44" s="1027"/>
      <c r="C44" s="1082"/>
      <c r="D44" s="683"/>
      <c r="E44" s="1027"/>
      <c r="F44" s="1037"/>
      <c r="G44" s="1027"/>
      <c r="H44" s="2184"/>
      <c r="I44" s="2185"/>
      <c r="J44" s="2186"/>
      <c r="K44" s="683"/>
      <c r="L44" s="1082"/>
      <c r="M44" s="2179"/>
      <c r="N44" s="2179"/>
      <c r="O44" s="2187"/>
      <c r="P44" s="2187"/>
      <c r="Q44" s="2211"/>
      <c r="T44" s="1027"/>
      <c r="U44" s="1027"/>
      <c r="V44" s="1027"/>
      <c r="W44" s="1082"/>
      <c r="Y44" s="1027"/>
      <c r="Z44" s="1037"/>
      <c r="AA44" s="1027"/>
      <c r="AB44" s="1082"/>
      <c r="AD44" s="2186"/>
      <c r="AE44" s="683"/>
      <c r="AF44" s="1082"/>
    </row>
    <row r="45" spans="1:32" s="674" customFormat="1" ht="18.95" customHeight="1">
      <c r="A45" s="1027"/>
      <c r="B45" s="1027"/>
      <c r="C45" s="1082"/>
      <c r="D45" s="683"/>
      <c r="E45" s="1027"/>
      <c r="F45" s="1037"/>
      <c r="G45" s="1027"/>
      <c r="H45" s="1082"/>
      <c r="I45" s="2185"/>
      <c r="J45" s="2186"/>
      <c r="K45" s="683"/>
      <c r="L45" s="1082"/>
      <c r="M45" s="2179"/>
      <c r="N45" s="2179"/>
      <c r="O45" s="2187"/>
      <c r="P45" s="2187"/>
      <c r="Q45" s="2211"/>
      <c r="T45" s="1027"/>
      <c r="U45" s="1027"/>
      <c r="V45" s="1027"/>
      <c r="W45" s="1082"/>
      <c r="Y45" s="1027"/>
      <c r="Z45" s="1037"/>
      <c r="AA45" s="1027"/>
      <c r="AB45" s="1082"/>
      <c r="AD45" s="2186"/>
      <c r="AE45" s="683"/>
      <c r="AF45" s="1082"/>
    </row>
    <row r="46" spans="1:32" s="2212" customFormat="1" ht="5.25" customHeight="1">
      <c r="A46" s="2204"/>
      <c r="B46" s="2204"/>
      <c r="C46" s="2205"/>
      <c r="D46" s="2206"/>
      <c r="E46" s="2204"/>
      <c r="F46" s="2207"/>
      <c r="G46" s="2204"/>
      <c r="H46" s="2205"/>
      <c r="I46" s="2208"/>
      <c r="J46" s="2209"/>
      <c r="K46" s="2206"/>
      <c r="L46" s="2205"/>
      <c r="M46" s="2210"/>
      <c r="N46" s="2210"/>
      <c r="O46" s="2211"/>
      <c r="P46" s="2211"/>
      <c r="Q46" s="2211"/>
      <c r="T46" s="2204"/>
      <c r="U46" s="2204"/>
      <c r="V46" s="2204"/>
      <c r="W46" s="2205"/>
      <c r="Y46" s="2204"/>
      <c r="Z46" s="2207"/>
      <c r="AA46" s="2204"/>
      <c r="AB46" s="2205"/>
      <c r="AD46" s="2209"/>
      <c r="AE46" s="2206"/>
      <c r="AF46" s="2205"/>
    </row>
    <row r="47" spans="1:32" s="674" customFormat="1" ht="20.25" customHeight="1">
      <c r="A47" s="1027"/>
      <c r="B47" s="1027"/>
      <c r="C47" s="1082"/>
      <c r="D47" s="683"/>
      <c r="E47" s="1027"/>
      <c r="F47" s="1037"/>
      <c r="G47" s="1027"/>
      <c r="H47" s="1082"/>
      <c r="I47" s="2185"/>
      <c r="J47" s="2186"/>
      <c r="K47" s="683"/>
      <c r="L47" s="1082"/>
      <c r="M47" s="2179"/>
      <c r="N47" s="2179"/>
      <c r="O47" s="2187"/>
      <c r="P47" s="2187"/>
      <c r="Q47" s="2211"/>
      <c r="T47" s="1027"/>
      <c r="U47" s="1027"/>
      <c r="V47" s="1027"/>
      <c r="W47" s="1082"/>
      <c r="Y47" s="1027"/>
      <c r="Z47" s="1037"/>
      <c r="AA47" s="1027"/>
      <c r="AB47" s="1082"/>
      <c r="AD47" s="2186"/>
      <c r="AE47" s="683"/>
      <c r="AF47" s="1082"/>
    </row>
    <row r="48" spans="1:32" s="671" customFormat="1" ht="24" customHeight="1" thickBot="1">
      <c r="A48" s="685"/>
      <c r="B48" s="2180"/>
      <c r="C48" s="686"/>
      <c r="D48" s="660"/>
      <c r="E48" s="660"/>
      <c r="F48" s="660"/>
      <c r="G48" s="660"/>
      <c r="H48" s="1082"/>
      <c r="I48" s="660"/>
      <c r="J48" s="660"/>
      <c r="K48" s="660"/>
      <c r="L48" s="660"/>
      <c r="M48" s="660"/>
      <c r="N48" s="660"/>
      <c r="O48" s="665"/>
      <c r="P48" s="1081"/>
      <c r="Q48" s="2214"/>
      <c r="T48" s="792"/>
      <c r="U48" s="668"/>
      <c r="V48" s="668"/>
      <c r="W48" s="668"/>
      <c r="X48" s="668"/>
      <c r="Y48" s="1082"/>
      <c r="Z48" s="668"/>
      <c r="AA48" s="668"/>
      <c r="AB48" s="668"/>
      <c r="AC48" s="668"/>
      <c r="AD48" s="668"/>
      <c r="AE48" s="668"/>
      <c r="AF48" s="1081"/>
    </row>
    <row r="49" spans="1:32" ht="36" customHeight="1" thickTop="1" thickBot="1">
      <c r="A49" s="3612" t="s">
        <v>613</v>
      </c>
      <c r="B49" s="3613"/>
      <c r="C49" s="3613"/>
      <c r="D49" s="2203">
        <f>O33+O35</f>
        <v>0</v>
      </c>
      <c r="I49" s="2225"/>
      <c r="J49" s="2226" t="s">
        <v>673</v>
      </c>
      <c r="K49" s="2227"/>
      <c r="L49" s="2228" t="str">
        <f>IF(O10=0,"",D49/O10)</f>
        <v/>
      </c>
      <c r="T49" s="3614" t="s">
        <v>614</v>
      </c>
      <c r="U49" s="3615"/>
      <c r="V49" s="3615"/>
      <c r="W49" s="3615"/>
      <c r="X49" s="2203">
        <f>AF33+AF35</f>
        <v>0</v>
      </c>
      <c r="Z49" s="2237"/>
      <c r="AA49" s="2238"/>
      <c r="AB49" s="2239"/>
      <c r="AC49" s="2225"/>
      <c r="AD49" s="2226" t="s">
        <v>673</v>
      </c>
      <c r="AE49" s="2227"/>
      <c r="AF49" s="2228" t="str">
        <f>IF(AF10=0,"",X49/AF10)</f>
        <v/>
      </c>
    </row>
    <row r="50" spans="1:32" ht="9.75" customHeight="1" thickTop="1" thickBot="1">
      <c r="Z50" s="668"/>
      <c r="AA50" s="668"/>
      <c r="AB50" s="668"/>
    </row>
    <row r="51" spans="1:32" ht="21.75" customHeight="1" thickTop="1">
      <c r="A51" s="2197" t="s">
        <v>215</v>
      </c>
      <c r="B51" s="2192"/>
      <c r="C51" s="2194">
        <v>7.5</v>
      </c>
      <c r="E51" s="668"/>
      <c r="I51" s="2229"/>
      <c r="J51" s="2230" t="s">
        <v>674</v>
      </c>
      <c r="K51" s="2231"/>
      <c r="L51" s="2232">
        <f>'(0) 5. Resumen P y G (5 Ej.)'!E52</f>
        <v>0</v>
      </c>
      <c r="T51" s="3619" t="s">
        <v>215</v>
      </c>
      <c r="U51" s="3620"/>
      <c r="V51" s="3621"/>
      <c r="W51" s="1933">
        <v>7.5</v>
      </c>
      <c r="Y51" s="668"/>
      <c r="Z51" s="668"/>
      <c r="AA51" s="668"/>
      <c r="AB51" s="668"/>
      <c r="AC51" s="2229"/>
      <c r="AD51" s="2230" t="s">
        <v>674</v>
      </c>
      <c r="AE51" s="2231"/>
      <c r="AF51" s="2232">
        <f>'(0) 5. Resumen P y G (5 Ej.)'!H52</f>
        <v>0</v>
      </c>
    </row>
    <row r="52" spans="1:32" ht="21.75" customHeight="1" thickBot="1">
      <c r="A52" s="2198" t="s">
        <v>213</v>
      </c>
      <c r="B52" s="2193"/>
      <c r="C52" s="2195">
        <f>'5. Costes RRHH (Ej 1º,2º)'!H32</f>
        <v>0</v>
      </c>
      <c r="E52" s="668"/>
      <c r="I52" s="2233"/>
      <c r="J52" s="2234" t="s">
        <v>781</v>
      </c>
      <c r="K52" s="2235"/>
      <c r="L52" s="2236" t="str">
        <f>IF('2.Ventas y Cobros (Ej 1º,2º)'!P25=0,"",(+'4.Costes Mk y Métricas (1º,2º)'!P10/'2.Ventas y Cobros (Ej 1º,2º)'!P25))</f>
        <v/>
      </c>
      <c r="T52" s="3622" t="s">
        <v>213</v>
      </c>
      <c r="U52" s="3623"/>
      <c r="V52" s="3624"/>
      <c r="W52" s="2191">
        <f>'5. Costes RRHH (Ej 1º,2º)'!I32</f>
        <v>0</v>
      </c>
      <c r="Y52" s="668"/>
      <c r="Z52" s="668"/>
      <c r="AA52" s="668"/>
      <c r="AB52" s="668"/>
      <c r="AC52" s="2233"/>
      <c r="AD52" s="2234" t="s">
        <v>781</v>
      </c>
      <c r="AE52" s="2235"/>
      <c r="AF52" s="2240" t="str">
        <f>IF('2.Ventas y Cobros (Ej 1º,2º)'!AI25=0,"",(+'4.Costes Mk y Métricas (1º,2º)'!AI10/'2.Ventas y Cobros (Ej 1º,2º)'!AI25))</f>
        <v/>
      </c>
    </row>
    <row r="53" spans="1:32" ht="21.75" customHeight="1" thickTop="1">
      <c r="A53" s="2198" t="s">
        <v>216</v>
      </c>
      <c r="B53" s="2193"/>
      <c r="C53" s="2195">
        <v>21</v>
      </c>
      <c r="E53" s="668"/>
      <c r="T53" s="3622" t="s">
        <v>216</v>
      </c>
      <c r="U53" s="3623"/>
      <c r="V53" s="3624"/>
      <c r="W53" s="2191">
        <v>21</v>
      </c>
      <c r="Y53" s="668"/>
      <c r="Z53" s="668"/>
      <c r="AA53" s="668"/>
      <c r="AB53" s="668"/>
      <c r="AC53" s="668"/>
      <c r="AD53" s="668"/>
      <c r="AE53" s="668"/>
      <c r="AF53" s="668"/>
    </row>
    <row r="54" spans="1:32" ht="21.75" customHeight="1" thickBot="1">
      <c r="A54" s="2199" t="s">
        <v>230</v>
      </c>
      <c r="C54" s="2196">
        <v>11</v>
      </c>
      <c r="E54" s="668"/>
      <c r="T54" s="3625" t="s">
        <v>230</v>
      </c>
      <c r="U54" s="3626"/>
      <c r="V54" s="3627"/>
      <c r="W54" s="1934">
        <v>11</v>
      </c>
      <c r="Y54" s="668"/>
      <c r="Z54" s="668"/>
      <c r="AA54" s="668"/>
      <c r="AB54" s="668"/>
      <c r="AC54" s="668"/>
      <c r="AD54" s="668"/>
      <c r="AE54" s="668"/>
      <c r="AF54" s="668"/>
    </row>
    <row r="55" spans="1:32" ht="30" customHeight="1" thickBot="1">
      <c r="A55" s="658" t="s">
        <v>257</v>
      </c>
      <c r="B55" s="2181"/>
      <c r="C55" s="659" t="str">
        <f>IF((C51*C52*C53*C54)=0,"",(C51*C52*C53*C54))</f>
        <v/>
      </c>
      <c r="D55" s="3606" t="s">
        <v>231</v>
      </c>
      <c r="E55" s="3607"/>
      <c r="T55" s="3610" t="s">
        <v>257</v>
      </c>
      <c r="U55" s="3611"/>
      <c r="V55" s="3605"/>
      <c r="W55" s="659" t="str">
        <f>IF((W51*W52*W53*W54)=0,"",(W51*W52*W53*W54))</f>
        <v/>
      </c>
      <c r="X55" s="3606" t="s">
        <v>231</v>
      </c>
      <c r="Y55" s="3361"/>
      <c r="Z55" s="668"/>
      <c r="AA55" s="668"/>
      <c r="AB55" s="668"/>
      <c r="AC55" s="668"/>
      <c r="AD55" s="668"/>
      <c r="AE55" s="668"/>
      <c r="AF55" s="668"/>
    </row>
    <row r="56" spans="1:32" ht="9" customHeight="1" thickBot="1">
      <c r="D56" s="661"/>
      <c r="E56" s="668"/>
      <c r="X56" s="661"/>
      <c r="Y56" s="668"/>
      <c r="Z56" s="668"/>
      <c r="AA56" s="668"/>
      <c r="AB56" s="668"/>
      <c r="AC56" s="668"/>
      <c r="AD56" s="668"/>
      <c r="AE56" s="668"/>
      <c r="AF56" s="668"/>
    </row>
    <row r="57" spans="1:32" ht="28.5" customHeight="1" thickBot="1">
      <c r="A57" s="662" t="s">
        <v>256</v>
      </c>
      <c r="B57" s="2182"/>
      <c r="C57" s="687" t="str">
        <f>IF(C55="","",D49/C55)</f>
        <v/>
      </c>
      <c r="D57" s="663" t="s">
        <v>214</v>
      </c>
      <c r="E57" s="668"/>
      <c r="T57" s="662" t="s">
        <v>256</v>
      </c>
      <c r="U57" s="1126"/>
      <c r="V57" s="1126"/>
      <c r="W57" s="687" t="str">
        <f>IF(W55="","",X49/W55)</f>
        <v/>
      </c>
      <c r="X57" s="3604" t="s">
        <v>214</v>
      </c>
      <c r="Y57" s="3605"/>
    </row>
    <row r="59" spans="1:32" s="2965" customFormat="1" ht="8.25" customHeight="1">
      <c r="O59" s="2966"/>
      <c r="P59" s="2966"/>
      <c r="Q59" s="2214"/>
    </row>
    <row r="60" spans="1:32" ht="30" customHeight="1"/>
    <row r="61" spans="1:32" ht="30" customHeight="1"/>
    <row r="62" spans="1:32" ht="30" customHeight="1">
      <c r="T62" s="668"/>
      <c r="U62" s="668"/>
      <c r="V62" s="668"/>
      <c r="W62" s="668"/>
      <c r="X62" s="668"/>
      <c r="Y62" s="668"/>
    </row>
    <row r="63" spans="1:32" ht="30" customHeight="1">
      <c r="A63" s="668"/>
      <c r="C63" s="668"/>
      <c r="D63" s="668"/>
      <c r="E63" s="668"/>
      <c r="F63" s="668"/>
      <c r="G63" s="668"/>
      <c r="H63" s="668"/>
      <c r="T63" s="1083"/>
      <c r="U63" s="1083"/>
      <c r="V63" s="1083"/>
      <c r="W63" s="1083"/>
      <c r="X63" s="1083"/>
      <c r="Y63" s="668"/>
    </row>
    <row r="64" spans="1:32" ht="30" customHeight="1">
      <c r="A64" s="668"/>
      <c r="C64" s="2245"/>
      <c r="D64" s="2246"/>
      <c r="E64" s="2245"/>
      <c r="F64" s="2245"/>
      <c r="G64" s="2247"/>
      <c r="H64" s="668"/>
      <c r="T64" s="2241"/>
      <c r="U64" s="2242"/>
      <c r="V64" s="2241"/>
      <c r="W64" s="2241"/>
      <c r="X64" s="2243"/>
      <c r="Y64" s="668"/>
    </row>
    <row r="65" spans="1:25" ht="30" customHeight="1">
      <c r="A65" s="668"/>
      <c r="C65" s="2179"/>
      <c r="D65" s="2179"/>
      <c r="E65" s="2179"/>
      <c r="F65" s="2179"/>
      <c r="G65" s="2179"/>
      <c r="H65" s="668"/>
      <c r="T65" s="1662"/>
      <c r="U65" s="2242"/>
      <c r="V65" s="1662"/>
      <c r="W65" s="1662"/>
      <c r="X65" s="2244"/>
      <c r="Y65" s="668"/>
    </row>
    <row r="66" spans="1:25" ht="30" hidden="1" customHeight="1">
      <c r="A66" s="668"/>
      <c r="C66" s="2245"/>
      <c r="D66" s="2246"/>
      <c r="E66" s="2245"/>
      <c r="F66" s="2245"/>
      <c r="G66" s="668"/>
      <c r="H66" s="668"/>
      <c r="T66" s="1662"/>
      <c r="U66" s="2242"/>
      <c r="V66" s="1662"/>
      <c r="W66" s="1662"/>
      <c r="X66" s="2244"/>
      <c r="Y66" s="668"/>
    </row>
    <row r="67" spans="1:25" ht="19.5" hidden="1" customHeight="1" thickBot="1">
      <c r="T67" s="1662"/>
      <c r="U67" s="2242"/>
      <c r="V67" s="1662"/>
      <c r="W67" s="1662"/>
      <c r="X67" s="2244"/>
      <c r="Y67" s="668"/>
    </row>
    <row r="68" spans="1:25" ht="16.5" hidden="1" customHeight="1">
      <c r="C68" s="688"/>
      <c r="D68" s="689" t="s">
        <v>309</v>
      </c>
      <c r="E68" s="690"/>
      <c r="F68" s="690"/>
      <c r="G68" s="690"/>
      <c r="H68" s="690"/>
      <c r="I68" s="690"/>
      <c r="J68" s="691"/>
      <c r="K68" s="690"/>
      <c r="L68" s="690"/>
      <c r="M68" s="692"/>
      <c r="N68" s="693"/>
      <c r="O68" s="1048"/>
      <c r="T68" s="1662"/>
      <c r="U68" s="2242"/>
      <c r="V68" s="1662"/>
      <c r="W68" s="1662"/>
      <c r="X68" s="2244"/>
      <c r="Y68" s="668"/>
    </row>
    <row r="69" spans="1:25" ht="21.75" hidden="1" customHeight="1">
      <c r="C69" s="694" t="s">
        <v>433</v>
      </c>
      <c r="D69" s="695"/>
      <c r="E69" s="696"/>
      <c r="F69" s="695"/>
      <c r="G69" s="695"/>
      <c r="H69" s="695"/>
      <c r="I69" s="695"/>
      <c r="J69" s="695"/>
      <c r="K69" s="695"/>
      <c r="L69" s="695"/>
      <c r="M69" s="697"/>
      <c r="N69" s="698"/>
      <c r="O69" s="1048"/>
      <c r="T69" s="1662"/>
      <c r="U69" s="2242"/>
      <c r="V69" s="1662"/>
      <c r="W69" s="1662"/>
      <c r="X69" s="2244"/>
      <c r="Y69" s="668"/>
    </row>
    <row r="70" spans="1:25" ht="20.25" hidden="1" customHeight="1">
      <c r="C70" s="699" t="s">
        <v>434</v>
      </c>
      <c r="D70" s="695"/>
      <c r="E70" s="695"/>
      <c r="F70" s="695"/>
      <c r="G70" s="695"/>
      <c r="H70" s="695"/>
      <c r="I70" s="695"/>
      <c r="J70" s="695"/>
      <c r="K70" s="700">
        <f>'5. Costes RRHH (Ej 1º,2º)'!K42</f>
        <v>0</v>
      </c>
      <c r="L70" s="695"/>
      <c r="M70" s="697"/>
      <c r="N70" s="698"/>
      <c r="O70" s="1048"/>
      <c r="T70" s="1662"/>
      <c r="U70" s="2242"/>
      <c r="V70" s="1662"/>
      <c r="W70" s="1662"/>
      <c r="X70" s="2244"/>
      <c r="Y70" s="668"/>
    </row>
    <row r="71" spans="1:25" ht="21" hidden="1" customHeight="1">
      <c r="C71" s="699" t="s">
        <v>435</v>
      </c>
      <c r="D71" s="695"/>
      <c r="E71" s="695"/>
      <c r="F71" s="695"/>
      <c r="G71" s="695"/>
      <c r="H71" s="695"/>
      <c r="I71" s="695"/>
      <c r="J71" s="695"/>
      <c r="K71" s="700">
        <f>'3.Costes D.V. y Pagos (1º,2º)'!P101</f>
        <v>0</v>
      </c>
      <c r="L71" s="695"/>
      <c r="M71" s="697"/>
      <c r="N71" s="698"/>
      <c r="O71" s="1048"/>
      <c r="T71" s="2242"/>
      <c r="U71" s="2242"/>
      <c r="V71" s="2242"/>
      <c r="W71" s="2242"/>
      <c r="X71" s="2242"/>
      <c r="Y71" s="668"/>
    </row>
    <row r="72" spans="1:25" ht="28.5" hidden="1" customHeight="1">
      <c r="C72" s="3608" t="s">
        <v>436</v>
      </c>
      <c r="D72" s="3609"/>
      <c r="E72" s="3609"/>
      <c r="F72" s="3609"/>
      <c r="G72" s="3609"/>
      <c r="H72" s="3609"/>
      <c r="I72" s="3609"/>
      <c r="J72" s="3609"/>
      <c r="K72" s="695"/>
      <c r="L72" s="695"/>
      <c r="M72" s="697"/>
      <c r="N72" s="698"/>
      <c r="O72" s="1048"/>
      <c r="T72" s="2241"/>
      <c r="U72" s="2242"/>
      <c r="V72" s="2241"/>
      <c r="W72" s="2241"/>
      <c r="X72" s="668"/>
      <c r="Y72" s="668"/>
    </row>
    <row r="73" spans="1:25" ht="16.5" hidden="1" customHeight="1">
      <c r="C73" s="701"/>
      <c r="D73" s="695"/>
      <c r="E73" s="695"/>
      <c r="F73" s="695" t="s">
        <v>386</v>
      </c>
      <c r="G73" s="695"/>
      <c r="H73" s="695"/>
      <c r="I73" s="695"/>
      <c r="J73" s="1049">
        <v>0</v>
      </c>
      <c r="K73" s="700">
        <f>SUM(O17:O28)*J73</f>
        <v>0</v>
      </c>
      <c r="L73" s="695"/>
      <c r="M73" s="697"/>
      <c r="N73" s="698"/>
      <c r="O73" s="1048"/>
      <c r="T73" s="1083"/>
      <c r="U73" s="1083"/>
      <c r="V73" s="1083"/>
      <c r="W73" s="1083"/>
      <c r="X73" s="1083"/>
      <c r="Y73" s="668"/>
    </row>
    <row r="74" spans="1:25" hidden="1">
      <c r="C74" s="701"/>
      <c r="D74" s="695"/>
      <c r="E74" s="695"/>
      <c r="F74" s="695"/>
      <c r="G74" s="695"/>
      <c r="H74" s="695"/>
      <c r="I74" s="695"/>
      <c r="J74" s="695"/>
      <c r="K74" s="695"/>
      <c r="L74" s="695"/>
      <c r="M74" s="697"/>
      <c r="N74" s="698"/>
      <c r="O74" s="1048"/>
      <c r="T74" s="668"/>
      <c r="U74" s="668"/>
      <c r="V74" s="668"/>
      <c r="W74" s="668"/>
      <c r="X74" s="668"/>
      <c r="Y74" s="668"/>
    </row>
    <row r="75" spans="1:25" ht="18.75" hidden="1" customHeight="1">
      <c r="C75" s="701"/>
      <c r="D75" s="695"/>
      <c r="E75" s="695"/>
      <c r="F75" s="702" t="s">
        <v>397</v>
      </c>
      <c r="G75" s="703"/>
      <c r="H75" s="703"/>
      <c r="I75" s="704"/>
      <c r="J75" s="704"/>
      <c r="K75" s="705">
        <f>K70+K71+K73+0</f>
        <v>0</v>
      </c>
      <c r="L75" s="695"/>
      <c r="M75" s="697"/>
      <c r="N75" s="698"/>
      <c r="O75" s="1048"/>
    </row>
    <row r="76" spans="1:25" hidden="1">
      <c r="C76" s="701"/>
      <c r="D76" s="695"/>
      <c r="E76" s="695"/>
      <c r="F76" s="695"/>
      <c r="G76" s="695"/>
      <c r="H76" s="695"/>
      <c r="I76" s="695"/>
      <c r="J76" s="695"/>
      <c r="K76" s="695"/>
      <c r="L76" s="695"/>
      <c r="M76" s="697"/>
      <c r="N76" s="698"/>
      <c r="O76" s="1048"/>
    </row>
    <row r="77" spans="1:25" ht="24.75" hidden="1" customHeight="1">
      <c r="C77" s="699" t="s">
        <v>437</v>
      </c>
      <c r="D77" s="695"/>
      <c r="E77" s="695"/>
      <c r="F77" s="695"/>
      <c r="G77" s="695"/>
      <c r="H77" s="695"/>
      <c r="I77" s="706"/>
      <c r="J77" s="695"/>
      <c r="K77" s="1050">
        <v>0</v>
      </c>
      <c r="L77" s="707" t="e">
        <f>IF(K77="",'Aux. Amortiz Contable'!#REF!,IF(K77&lt;&gt;'Aux. Amortiz Contable'!#REF!,'Aux. Amortiz Contable'!#REF!,""))</f>
        <v>#REF!</v>
      </c>
      <c r="M77" s="697"/>
      <c r="N77" s="698"/>
      <c r="O77" s="1048"/>
    </row>
    <row r="78" spans="1:25" hidden="1">
      <c r="C78" s="701"/>
      <c r="D78" s="695"/>
      <c r="E78" s="695"/>
      <c r="F78" s="695"/>
      <c r="G78" s="695"/>
      <c r="H78" s="695"/>
      <c r="I78" s="695"/>
      <c r="J78" s="695"/>
      <c r="K78" s="695"/>
      <c r="L78" s="695"/>
      <c r="M78" s="697"/>
      <c r="N78" s="698"/>
      <c r="O78" s="1048"/>
    </row>
    <row r="79" spans="1:25" ht="21.75" hidden="1" customHeight="1" thickBot="1">
      <c r="C79" s="708"/>
      <c r="D79" s="709"/>
      <c r="E79" s="709"/>
      <c r="F79" s="710" t="s">
        <v>398</v>
      </c>
      <c r="G79" s="711"/>
      <c r="H79" s="711"/>
      <c r="I79" s="712"/>
      <c r="J79" s="712"/>
      <c r="K79" s="713">
        <f>K75+K77</f>
        <v>0</v>
      </c>
      <c r="L79" s="709"/>
      <c r="M79" s="714"/>
      <c r="N79" s="715"/>
      <c r="O79" s="1048"/>
    </row>
    <row r="80" spans="1:25" hidden="1"/>
  </sheetData>
  <sheetProtection sheet="1" formatColumns="0" formatRows="0"/>
  <mergeCells count="16">
    <mergeCell ref="B3:N3"/>
    <mergeCell ref="B4:N4"/>
    <mergeCell ref="X57:Y57"/>
    <mergeCell ref="D55:E55"/>
    <mergeCell ref="C72:J72"/>
    <mergeCell ref="T55:V55"/>
    <mergeCell ref="A49:C49"/>
    <mergeCell ref="T49:W49"/>
    <mergeCell ref="T3:AE3"/>
    <mergeCell ref="T4:AE4"/>
    <mergeCell ref="S14:S16"/>
    <mergeCell ref="T51:V51"/>
    <mergeCell ref="T52:V52"/>
    <mergeCell ref="T53:V53"/>
    <mergeCell ref="T54:V54"/>
    <mergeCell ref="X55:Y55"/>
  </mergeCells>
  <phoneticPr fontId="9" type="noConversion"/>
  <conditionalFormatting sqref="S18:S28">
    <cfRule type="cellIs" dxfId="169" priority="18" stopIfTrue="1" operator="equal">
      <formula>0</formula>
    </cfRule>
  </conditionalFormatting>
  <conditionalFormatting sqref="I49 E66:F66 L52 V72:W72 AF52">
    <cfRule type="cellIs" dxfId="168" priority="17" stopIfTrue="1" operator="equal">
      <formula>0</formula>
    </cfRule>
  </conditionalFormatting>
  <conditionalFormatting sqref="Z49">
    <cfRule type="cellIs" dxfId="167" priority="16" stopIfTrue="1" operator="equal">
      <formula>0</formula>
    </cfRule>
  </conditionalFormatting>
  <conditionalFormatting sqref="D18">
    <cfRule type="cellIs" dxfId="166" priority="15" stopIfTrue="1" operator="equal">
      <formula>0</formula>
    </cfRule>
  </conditionalFormatting>
  <conditionalFormatting sqref="E64:G64 C64">
    <cfRule type="cellIs" dxfId="165" priority="14" stopIfTrue="1" operator="equal">
      <formula>0</formula>
    </cfRule>
  </conditionalFormatting>
  <conditionalFormatting sqref="V64:X64 T64">
    <cfRule type="cellIs" dxfId="164" priority="8" stopIfTrue="1" operator="equal">
      <formula>0</formula>
    </cfRule>
  </conditionalFormatting>
  <conditionalFormatting sqref="X65:X70">
    <cfRule type="cellIs" dxfId="163" priority="7" stopIfTrue="1" operator="equal">
      <formula>0</formula>
    </cfRule>
  </conditionalFormatting>
  <conditionalFormatting sqref="V65:W70 T65:T70">
    <cfRule type="cellIs" dxfId="162" priority="6" stopIfTrue="1" operator="equal">
      <formula>0</formula>
    </cfRule>
  </conditionalFormatting>
  <conditionalFormatting sqref="C66">
    <cfRule type="cellIs" dxfId="161" priority="9" stopIfTrue="1" operator="equal">
      <formula>0</formula>
    </cfRule>
  </conditionalFormatting>
  <conditionalFormatting sqref="T72">
    <cfRule type="cellIs" dxfId="160" priority="4" stopIfTrue="1" operator="equal">
      <formula>0</formula>
    </cfRule>
  </conditionalFormatting>
  <conditionalFormatting sqref="I51:I52">
    <cfRule type="cellIs" dxfId="159" priority="3" stopIfTrue="1" operator="equal">
      <formula>0</formula>
    </cfRule>
  </conditionalFormatting>
  <conditionalFormatting sqref="AC49">
    <cfRule type="cellIs" dxfId="158" priority="2" stopIfTrue="1" operator="equal">
      <formula>0</formula>
    </cfRule>
  </conditionalFormatting>
  <conditionalFormatting sqref="AC51:AC52">
    <cfRule type="cellIs" dxfId="157" priority="1" stopIfTrue="1" operator="equal">
      <formula>0</formula>
    </cfRule>
  </conditionalFormatting>
  <dataValidations count="2">
    <dataValidation allowBlank="1" showInputMessage="1" sqref="D73 J68:K69 J73 D67:F68 K73:K75 C74:E76 M76:IY65549 F76:L76 C77 G68:I71 E77:I77 E69:F71 K70:K71 K77:L77 C78:E65549 L78:L65549 F78:K78 F80:K65549 K79 F79:H79 T58:X62 F73:H75 I74 AC53:AF67 D43:W47 T49:T57 AB49 C67:C73 AD43:AF47 Y56 D48:AF48 Y43:AB47 L51 Y50:Y54 C5:F6 I5:N42 H5:H6 D7:H42 B50:B1048576 C1:N2 S17:S42 W50:X57 F50 T74:X75 D49 C9:C48 A1:A1048576 AF49 B1:B48 X49 C50:E59 F52:F59 T5:W5 AF1:AF42 T1:AE2 T3:T4 Z5:AE42 Y5 T6:Y42 O1:R42 S1:S14 C65:F65 Y58:Y67 L68:S75 Y68:IY75 L49:S49 Z50:AB67 AG1:IY67 AF51 O50:S67"/>
    <dataValidation type="decimal" operator="greaterThanOrEqual" allowBlank="1" showInputMessage="1" error="Solo valores mayores o iguales a cero." sqref="I49 Z49 C66 E64:G64 C64 T72 V64:X70 T64:T70 I51:I52 L52 E66:F66 AC49 AC51:AC52 AF52 V72:W72">
      <formula1>0</formula1>
    </dataValidation>
  </dataValidations>
  <printOptions horizontalCentered="1" verticalCentered="1"/>
  <pageMargins left="0.6692913385826772" right="0.39370078740157483" top="0.59055118110236227" bottom="0.59055118110236227" header="0.31496062992125984" footer="0.31496062992125984"/>
  <pageSetup paperSize="9" scale="43" orientation="landscape" horizontalDpi="300" verticalDpi="300" r:id="rId1"/>
  <headerFooter alignWithMargins="0">
    <oddFooter>&amp;A</oddFooter>
  </headerFooter>
  <rowBreaks count="1" manualBreakCount="1">
    <brk id="45" max="32" man="1"/>
  </rowBreaks>
  <colBreaks count="1" manualBreakCount="1">
    <brk id="17" max="57"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68</vt:i4>
      </vt:variant>
    </vt:vector>
  </HeadingPairs>
  <TitlesOfParts>
    <vt:vector size="107" baseType="lpstr">
      <vt:lpstr>Portada</vt:lpstr>
      <vt:lpstr>Índice</vt:lpstr>
      <vt:lpstr>Manual-Guía</vt:lpstr>
      <vt:lpstr>1.Datos Básicos. Product-Serv</vt:lpstr>
      <vt:lpstr>2.Ventas y Cobros (Ej 1º,2º)</vt:lpstr>
      <vt:lpstr>3.Costes D.V. y Pagos (1º,2º)</vt:lpstr>
      <vt:lpstr>4.Costes Mk y Métricas (1º,2º)</vt:lpstr>
      <vt:lpstr>5. Costes RRHH (Ej 1º,2º)</vt:lpstr>
      <vt:lpstr>6. P y G (Ej 1º,2º)</vt:lpstr>
      <vt:lpstr>7. Plan Invers-Financ (1º,2º)</vt:lpstr>
      <vt:lpstr>(0) 1a. Activos de Partida</vt:lpstr>
      <vt:lpstr>(0) 1b. Pasivos de Partida</vt:lpstr>
      <vt:lpstr>Aux. Amortiz Contable</vt:lpstr>
      <vt:lpstr>(0) 3a. Préstam Particip.</vt:lpstr>
      <vt:lpstr>(0) 3b. Préstam Financ.</vt:lpstr>
      <vt:lpstr>(0) 3c. Cuadro Renting y L</vt:lpstr>
      <vt:lpstr>8. Tesorería (Ej 1º,2º)</vt:lpstr>
      <vt:lpstr>9. Abrev Balan-CtaR (Ej 1º,2º)</vt:lpstr>
      <vt:lpstr>10. Indicadores (Ej 1º,2º)</vt:lpstr>
      <vt:lpstr>(0) 4. Resumen Balances (5 Ej.)</vt:lpstr>
      <vt:lpstr>(0) 5. Resumen P y G (5 Ej.)</vt:lpstr>
      <vt:lpstr>(0) 6. Mas Indicadores-Objetiv</vt:lpstr>
      <vt:lpstr>Aux 4.1.1Crédito Inicial 1</vt:lpstr>
      <vt:lpstr>Aux 4.1.2. Credito Inicial 2</vt:lpstr>
      <vt:lpstr>Aux 4.1.3.Crédito 1</vt:lpstr>
      <vt:lpstr>Aux 4.2.Crédito 2</vt:lpstr>
      <vt:lpstr>Aux 4.3.Crédito 3</vt:lpstr>
      <vt:lpstr>Aux 4.4.Crédito 4</vt:lpstr>
      <vt:lpstr>Aux 4.5.Crédito 5</vt:lpstr>
      <vt:lpstr>Aux.4.0.Leasing Inicial</vt:lpstr>
      <vt:lpstr>Aux 4.1.Leasing 1</vt:lpstr>
      <vt:lpstr>Aux 4.2.Leasing 2</vt:lpstr>
      <vt:lpstr>Aux 4.3.Leasing 3</vt:lpstr>
      <vt:lpstr>Aux 4.4.Leasing 4</vt:lpstr>
      <vt:lpstr>Aux 4.5.Leasing 5</vt:lpstr>
      <vt:lpstr>P P1</vt:lpstr>
      <vt:lpstr>P P2</vt:lpstr>
      <vt:lpstr>P P3</vt:lpstr>
      <vt:lpstr>P P4</vt:lpstr>
      <vt:lpstr>Ac_Com_Dos</vt:lpstr>
      <vt:lpstr>Acreedores_Comerciales</vt:lpstr>
      <vt:lpstr>Acreedores_CP_Financieros</vt:lpstr>
      <vt:lpstr>Año_Com_Ejerc_0</vt:lpstr>
      <vt:lpstr>Año_Com_Ejerc_1</vt:lpstr>
      <vt:lpstr>Año_Com_Ejerc_2</vt:lpstr>
      <vt:lpstr>Año_Com_Ejerc_3</vt:lpstr>
      <vt:lpstr>Año_Com_Ejerc_4</vt:lpstr>
      <vt:lpstr>Año_Com_Ejerc_5</vt:lpstr>
      <vt:lpstr>Año_comienzo_Plan</vt:lpstr>
      <vt:lpstr>'(0) 1a. Activos de Partida'!Área_de_impresión</vt:lpstr>
      <vt:lpstr>'(0) 1b. Pasivos de Partida'!Área_de_impresión</vt:lpstr>
      <vt:lpstr>'(0) 3a. Préstam Particip.'!Área_de_impresión</vt:lpstr>
      <vt:lpstr>'(0) 3b. Préstam Financ.'!Área_de_impresión</vt:lpstr>
      <vt:lpstr>'(0) 3c. Cuadro Renting y L'!Área_de_impresión</vt:lpstr>
      <vt:lpstr>'(0) 4. Resumen Balances (5 Ej.)'!Área_de_impresión</vt:lpstr>
      <vt:lpstr>'(0) 5. Resumen P y G (5 Ej.)'!Área_de_impresión</vt:lpstr>
      <vt:lpstr>'(0) 6. Mas Indicadores-Objetiv'!Área_de_impresión</vt:lpstr>
      <vt:lpstr>'1.Datos Básicos. Product-Serv'!Área_de_impresión</vt:lpstr>
      <vt:lpstr>'2.Ventas y Cobros (Ej 1º,2º)'!Área_de_impresión</vt:lpstr>
      <vt:lpstr>'3.Costes D.V. y Pagos (1º,2º)'!Área_de_impresión</vt:lpstr>
      <vt:lpstr>'4.Costes Mk y Métricas (1º,2º)'!Área_de_impresión</vt:lpstr>
      <vt:lpstr>'5. Costes RRHH (Ej 1º,2º)'!Área_de_impresión</vt:lpstr>
      <vt:lpstr>'6. P y G (Ej 1º,2º)'!Área_de_impresión</vt:lpstr>
      <vt:lpstr>'7. Plan Invers-Financ (1º,2º)'!Área_de_impresión</vt:lpstr>
      <vt:lpstr>'8. Tesorería (Ej 1º,2º)'!Área_de_impresión</vt:lpstr>
      <vt:lpstr>Índice!Área_de_impresión</vt:lpstr>
      <vt:lpstr>'Manual-Guía'!Área_de_impresión</vt:lpstr>
      <vt:lpstr>Portada!Área_de_impresión</vt:lpstr>
      <vt:lpstr>Beneficios_Acumulados_B</vt:lpstr>
      <vt:lpstr>Beneficios_Acumulados_D</vt:lpstr>
      <vt:lpstr>Beneficios_Acumulados_F</vt:lpstr>
      <vt:lpstr>Beneficios_Acumulados_H</vt:lpstr>
      <vt:lpstr>Beneficios_Acumulados_J</vt:lpstr>
      <vt:lpstr>'Aux 4.1.Leasing 1'!Capital</vt:lpstr>
      <vt:lpstr>'Aux 4.2.Leasing 2'!Capital</vt:lpstr>
      <vt:lpstr>'Aux 4.3.Leasing 3'!Capital</vt:lpstr>
      <vt:lpstr>'Aux 4.4.Leasing 4'!Capital</vt:lpstr>
      <vt:lpstr>'Aux 4.5.Leasing 5'!Capital</vt:lpstr>
      <vt:lpstr>'Aux.4.0.Leasing Inicial'!Capital</vt:lpstr>
      <vt:lpstr>Consolidación?</vt:lpstr>
      <vt:lpstr>Deuda_Clientes</vt:lpstr>
      <vt:lpstr>Enero</vt:lpstr>
      <vt:lpstr>'Aux 4.1.Leasing 1'!Interes</vt:lpstr>
      <vt:lpstr>'Aux 4.2.Leasing 2'!Interes</vt:lpstr>
      <vt:lpstr>'Aux 4.3.Leasing 3'!Interes</vt:lpstr>
      <vt:lpstr>'Aux 4.4.Leasing 4'!Interes</vt:lpstr>
      <vt:lpstr>'Aux 4.5.Leasing 5'!Interes</vt:lpstr>
      <vt:lpstr>'Aux.4.0.Leasing Inicial'!Interes</vt:lpstr>
      <vt:lpstr>Otros_Acreed_LP</vt:lpstr>
      <vt:lpstr>Otros_Acreedores_C.P.__HP</vt:lpstr>
      <vt:lpstr>Otros_Acreedores_CP_HP</vt:lpstr>
      <vt:lpstr>Otros_Acreedores_L.P.</vt:lpstr>
      <vt:lpstr>Otros_Deudores</vt:lpstr>
      <vt:lpstr>Otros_Pagos_Pdte_a_LP</vt:lpstr>
      <vt:lpstr>Pagos_Pdtes_a_Acreed._Comerciales_a_CP</vt:lpstr>
      <vt:lpstr>Pdte_Clientes</vt:lpstr>
      <vt:lpstr>Pdte_Cobro_C</vt:lpstr>
      <vt:lpstr>Pdte_Cobro_D</vt:lpstr>
      <vt:lpstr>Pdte_Deudores</vt:lpstr>
      <vt:lpstr>Pdte_Pago_Dos</vt:lpstr>
      <vt:lpstr>Pdte_Pago_SS</vt:lpstr>
      <vt:lpstr>Pdte_Sal_Dos</vt:lpstr>
      <vt:lpstr>Salarios_a_Pagar</vt:lpstr>
      <vt:lpstr>'(0) 3b. Préstam Financ.'!Títulos_a_imprimir</vt:lpstr>
      <vt:lpstr>'(0) 3c. Cuadro Renting y L'!Títulos_a_imprimir</vt:lpstr>
      <vt:lpstr>'5. Costes RRHH (Ej 1º,2º)'!Títulos_a_imprimir</vt:lpstr>
      <vt:lpstr>'7. Plan Invers-Financ (1º,2º)'!Títulos_a_imprimir</vt:lpstr>
    </vt:vector>
  </TitlesOfParts>
  <Company>EOI - Escuela de Organización Industrial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Financiero</dc:title>
  <dc:creator>M Vicenta Pérez</dc:creator>
  <cp:lastModifiedBy>M Vicenta Perez Silvestre</cp:lastModifiedBy>
  <cp:lastPrinted>2017-01-09T09:38:23Z</cp:lastPrinted>
  <dcterms:created xsi:type="dcterms:W3CDTF">1999-05-11T12:09:08Z</dcterms:created>
  <dcterms:modified xsi:type="dcterms:W3CDTF">2017-02-06T09:35:24Z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robado por">
    <vt:lpwstr>MNB</vt:lpwstr>
  </property>
</Properties>
</file>