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 firstSheet="1" activeTab="3"/>
  </bookViews>
  <sheets>
    <sheet name="Tasas de retorno" sheetId="1" r:id="rId1"/>
    <sheet name="Previsiones gas recuperado" sheetId="5" r:id="rId2"/>
    <sheet name="Previsiones precio CERs" sheetId="4" r:id="rId3"/>
    <sheet name="Análisis financiero" sheetId="2" r:id="rId4"/>
    <sheet name="Análisis de Sensibilidad" sheetId="6" r:id="rId5"/>
  </sheets>
  <definedNames>
    <definedName name="TextView.aspx?data_yieldYear_year_2011" localSheetId="0">'Tasas de retorno'!$B$3:$B$253</definedName>
  </definedNames>
  <calcPr calcId="145621" iterate="1" concurrentCalc="0"/>
</workbook>
</file>

<file path=xl/calcChain.xml><?xml version="1.0" encoding="utf-8"?>
<calcChain xmlns="http://schemas.openxmlformats.org/spreadsheetml/2006/main">
  <c r="E6" i="2" l="1"/>
  <c r="F6" i="2"/>
  <c r="I20" i="6"/>
  <c r="E7" i="2"/>
  <c r="F7" i="2"/>
  <c r="I21" i="6"/>
  <c r="E8" i="2"/>
  <c r="F8" i="2"/>
  <c r="I22" i="6"/>
  <c r="E9" i="2"/>
  <c r="F9" i="2"/>
  <c r="I23" i="6"/>
  <c r="E10" i="2"/>
  <c r="F10" i="2"/>
  <c r="I24" i="6"/>
  <c r="E11" i="2"/>
  <c r="F11" i="2"/>
  <c r="I25" i="6"/>
  <c r="E12" i="2"/>
  <c r="F12" i="2"/>
  <c r="I26" i="6"/>
  <c r="R17" i="6"/>
  <c r="H18" i="6"/>
  <c r="H19" i="6"/>
  <c r="H6" i="2"/>
  <c r="H20" i="6"/>
  <c r="H7" i="2"/>
  <c r="H21" i="6"/>
  <c r="H8" i="2"/>
  <c r="H22" i="6"/>
  <c r="H9" i="2"/>
  <c r="H23" i="6"/>
  <c r="H10" i="2"/>
  <c r="H24" i="6"/>
  <c r="H11" i="2"/>
  <c r="H25" i="6"/>
  <c r="H12" i="2"/>
  <c r="H26" i="6"/>
  <c r="R16" i="6"/>
  <c r="G18" i="6"/>
  <c r="G19" i="6"/>
  <c r="G20" i="6"/>
  <c r="G21" i="6"/>
  <c r="G22" i="6"/>
  <c r="G23" i="6"/>
  <c r="G24" i="6"/>
  <c r="G25" i="6"/>
  <c r="G26" i="6"/>
  <c r="R15" i="6"/>
  <c r="C18" i="6"/>
  <c r="F18" i="6"/>
  <c r="F19" i="6"/>
  <c r="F20" i="6"/>
  <c r="F21" i="6"/>
  <c r="F22" i="6"/>
  <c r="F23" i="6"/>
  <c r="F24" i="6"/>
  <c r="F25" i="6"/>
  <c r="F26" i="6"/>
  <c r="R14" i="6"/>
  <c r="B19" i="6"/>
  <c r="B18" i="6"/>
  <c r="B20" i="6"/>
  <c r="B21" i="6"/>
  <c r="B22" i="6"/>
  <c r="B23" i="6"/>
  <c r="B24" i="6"/>
  <c r="B25" i="6"/>
  <c r="B26" i="6"/>
  <c r="O14" i="6"/>
  <c r="C19" i="6"/>
  <c r="C20" i="6"/>
  <c r="C21" i="6"/>
  <c r="C22" i="6"/>
  <c r="C23" i="6"/>
  <c r="C24" i="6"/>
  <c r="C25" i="6"/>
  <c r="C26" i="6"/>
  <c r="O15" i="6"/>
  <c r="D18" i="6"/>
  <c r="D19" i="6"/>
  <c r="D20" i="6"/>
  <c r="D21" i="6"/>
  <c r="D22" i="6"/>
  <c r="D23" i="6"/>
  <c r="D24" i="6"/>
  <c r="D25" i="6"/>
  <c r="D26" i="6"/>
  <c r="O16" i="6"/>
  <c r="E20" i="6"/>
  <c r="E21" i="6"/>
  <c r="E22" i="6"/>
  <c r="E23" i="6"/>
  <c r="E24" i="6"/>
  <c r="E25" i="6"/>
  <c r="E26" i="6"/>
  <c r="O17" i="6"/>
  <c r="D6" i="2"/>
  <c r="G5" i="6"/>
  <c r="G6" i="6"/>
  <c r="G7" i="6"/>
  <c r="G8" i="6"/>
  <c r="G9" i="6"/>
  <c r="G10" i="6"/>
  <c r="G11" i="6"/>
  <c r="G12" i="6"/>
  <c r="G13" i="6"/>
  <c r="R13" i="6"/>
  <c r="F5" i="6"/>
  <c r="F6" i="6"/>
  <c r="F7" i="6"/>
  <c r="F8" i="6"/>
  <c r="F9" i="6"/>
  <c r="F10" i="6"/>
  <c r="F11" i="6"/>
  <c r="F12" i="6"/>
  <c r="F13" i="6"/>
  <c r="R12" i="6"/>
  <c r="E5" i="6"/>
  <c r="E6" i="6"/>
  <c r="E7" i="6"/>
  <c r="E8" i="6"/>
  <c r="E9" i="6"/>
  <c r="E10" i="6"/>
  <c r="E11" i="6"/>
  <c r="E12" i="6"/>
  <c r="E13" i="6"/>
  <c r="R11" i="6"/>
  <c r="B5" i="6"/>
  <c r="B6" i="6"/>
  <c r="B7" i="6"/>
  <c r="B8" i="6"/>
  <c r="B9" i="6"/>
  <c r="B10" i="6"/>
  <c r="B11" i="6"/>
  <c r="B12" i="6"/>
  <c r="B13" i="6"/>
  <c r="O11" i="6"/>
  <c r="D5" i="6"/>
  <c r="D6" i="6"/>
  <c r="D7" i="6"/>
  <c r="D8" i="6"/>
  <c r="D9" i="6"/>
  <c r="D10" i="6"/>
  <c r="D11" i="6"/>
  <c r="D12" i="6"/>
  <c r="D13" i="6"/>
  <c r="C5" i="6"/>
  <c r="C6" i="6"/>
  <c r="C7" i="6"/>
  <c r="C8" i="6"/>
  <c r="C9" i="6"/>
  <c r="C10" i="6"/>
  <c r="C11" i="6"/>
  <c r="C12" i="6"/>
  <c r="C13" i="6"/>
  <c r="O13" i="6"/>
  <c r="O12" i="6"/>
  <c r="I4" i="2"/>
  <c r="I5" i="2"/>
  <c r="I6" i="2"/>
  <c r="I7" i="2"/>
  <c r="I8" i="2"/>
  <c r="I9" i="2"/>
  <c r="I10" i="2"/>
  <c r="I11" i="2"/>
  <c r="I12" i="2"/>
  <c r="O8" i="2"/>
  <c r="J4" i="2"/>
  <c r="J5" i="2"/>
  <c r="J6" i="2"/>
  <c r="J7" i="2"/>
  <c r="J8" i="2"/>
  <c r="J9" i="2"/>
  <c r="J10" i="2"/>
  <c r="J11" i="2"/>
  <c r="J12" i="2"/>
  <c r="P9" i="2"/>
  <c r="O9" i="2"/>
  <c r="P7" i="2"/>
  <c r="O7" i="2"/>
  <c r="O10" i="2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J4" i="1"/>
  <c r="F4" i="2"/>
  <c r="F5" i="2"/>
  <c r="F4" i="1"/>
</calcChain>
</file>

<file path=xl/comments1.xml><?xml version="1.0" encoding="utf-8"?>
<comments xmlns="http://schemas.openxmlformats.org/spreadsheetml/2006/main">
  <authors>
    <author>Germán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Bonos del tesoro Americano a 30 años (año 2011)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Tasa de retorno (opción1): calculada según el cuadro de abajo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Tasa de retorno (opción 2): tomada del apéndice de </t>
        </r>
        <r>
          <rPr>
            <i/>
            <sz val="9"/>
            <color indexed="81"/>
            <rFont val="Tahoma"/>
            <family val="2"/>
          </rPr>
          <t>Guidelines on the assessment of investment analysis</t>
        </r>
        <r>
          <rPr>
            <sz val="9"/>
            <color indexed="81"/>
            <rFont val="Tahoma"/>
            <family val="2"/>
          </rPr>
          <t xml:space="preserve"> de la UNFCCC</t>
        </r>
      </text>
    </comment>
  </commentList>
</comments>
</file>

<file path=xl/comments2.xml><?xml version="1.0" encoding="utf-8"?>
<comments xmlns="http://schemas.openxmlformats.org/spreadsheetml/2006/main">
  <authors>
    <author>Germán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MMSCF: million standard cubic feet per day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MMSCF al año</t>
        </r>
      </text>
    </comment>
  </commentList>
</comments>
</file>

<file path=xl/comments3.xml><?xml version="1.0" encoding="utf-8"?>
<comments xmlns="http://schemas.openxmlformats.org/spreadsheetml/2006/main">
  <authors>
    <author>Germán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Tomadas de PointCarbon (ver tabla inferior), se toman green sCERs ya que se espera que el proyecto se registre antes del 31 de Diciembre de 2012</t>
        </r>
      </text>
    </comment>
  </commentList>
</comments>
</file>

<file path=xl/comments4.xml><?xml version="1.0" encoding="utf-8"?>
<comments xmlns="http://schemas.openxmlformats.org/spreadsheetml/2006/main">
  <authors>
    <author>Germán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Gastos de capital para la infraestructura 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Gastos de operación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El 1% del gas recuperado se utiliza para la procucción de electricidad en una turbina dual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Ventas (USD)= Volúmen recuperado (MMSCF)*PCI gas (1596 BTU/SCF)*Precio gas (1,5 USD/MMBTU)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Ver Excel "Reducción de emisiones"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Ver hoja "Previsiones precio CERs". Los participantes reciben el 98% de los CERs generados por el proyecto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El proyecto estará operativo en el mes de Marzo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Con tasa de retorno R1=14.82% (ver hoja "Tasas de retorno")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Con tasa de retorno R2=11.50% (ver hoja "Tasas de retorno")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Análisis de la inversión sin ingresos por venta de CERs (sin registrar como CDM)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Valor Actual Neto en millones de USD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Tasa Interna de Retorno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Análisis de la inversión sin ingresos por venta de CERs (sin registrar como CDM)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LHV: poder calorífico inferior</t>
        </r>
      </text>
    </comment>
  </commentList>
</comments>
</file>

<file path=xl/comments5.xml><?xml version="1.0" encoding="utf-8"?>
<comments xmlns="http://schemas.openxmlformats.org/spreadsheetml/2006/main">
  <authors>
    <author>Germán</author>
  </authors>
  <commentList>
    <comment ref="B4" authorId="0">
      <text>
        <r>
          <rPr>
            <b/>
            <sz val="9"/>
            <color indexed="81"/>
            <rFont val="Tahoma"/>
            <charset val="1"/>
          </rPr>
          <t>Germán:</t>
        </r>
        <r>
          <rPr>
            <sz val="9"/>
            <color indexed="81"/>
            <rFont val="Tahoma"/>
            <charset val="1"/>
          </rPr>
          <t xml:space="preserve">
Flujo de caja modificado considerando que los OPEX se reduce el % especificado en la celda N10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Flujo de caja modificado considerando que los CAPEX se reduce el % especificado en la celda N11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Flujo de caja modificado considerando que el precio del gas aumenta en el % especificado en la celda N12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Flujo de caja modificado considerando que los OPEX se reduce el % especificado en la celda Q10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Flujo de caja modificado considerando que los CAPEX se reduce el % especificado en la celda Q11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Flujo de caja modificado considerando que el precio del gas aumenta en el % especificado en la celda Q12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Parámetro considerado en el análisis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Incremento/decremento requerido en los ingresos/gastos para alcanzar la tasa de corte: IRR=R1=14.85%</t>
        </r>
      </text>
    </comment>
    <comment ref="P10" authorId="0">
      <text>
        <r>
          <rPr>
            <b/>
            <sz val="9"/>
            <color indexed="81"/>
            <rFont val="Tahoma"/>
            <charset val="1"/>
          </rPr>
          <t>Germán:</t>
        </r>
        <r>
          <rPr>
            <sz val="9"/>
            <color indexed="81"/>
            <rFont val="Tahoma"/>
            <charset val="1"/>
          </rPr>
          <t xml:space="preserve">
Parámetro considerado en el análisis</t>
        </r>
      </text>
    </comment>
    <comment ref="Q10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Incremento/decremento requerido en los ingresos/gastos para alcanzar la tasa de corte IRR=R2=11.50%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Flujo de caja modificado considerando que los OPEX se reduce el % especificado en la celda N13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Flujo de caja modificado considerando que los CAPEX se reduce el % especificado en la celda N14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Flujo de caja modificado considerando que el precio del gas aumenta en el % especificado en la celda N15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Flujo de caja modificado considerando que el precio de los CERs aumenta en el % especificado en la celda N16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Flujo de caja modificado considerando que los OPEX aumentan el % especificado en la celda Q13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Flujo de caja modificado considerando que los CAPEX aumentan el % especificado en la celda Q14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Flujo de caja modificado considerando que el precio del gas se reduce en el % especificado en la celda Q15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Germán:</t>
        </r>
        <r>
          <rPr>
            <sz val="9"/>
            <color indexed="81"/>
            <rFont val="Tahoma"/>
            <family val="2"/>
          </rPr>
          <t xml:space="preserve">
Flujo de caja modificado considerando que el precio de los CERs se reducen en el % especificado en la celda Q16</t>
        </r>
      </text>
    </comment>
  </commentList>
</comments>
</file>

<file path=xl/connections.xml><?xml version="1.0" encoding="utf-8"?>
<connections xmlns="http://schemas.openxmlformats.org/spreadsheetml/2006/main">
  <connection id="1" name="Conexión" type="4" refreshedVersion="4" background="1" saveData="1">
    <webPr sourceData="1" parsePre="1" consecutive="1" xl2000="1" url="http://www.treasury.gov/resource-center/data-chart-center/interest-rates/Pages/TextView.aspx?data=yieldYear&amp;year=2011" htmlTables="1">
      <tables count="1">
        <x v="64"/>
      </tables>
    </webPr>
  </connection>
</connections>
</file>

<file path=xl/sharedStrings.xml><?xml version="1.0" encoding="utf-8"?>
<sst xmlns="http://schemas.openxmlformats.org/spreadsheetml/2006/main" count="88" uniqueCount="52">
  <si>
    <t>Fecha</t>
  </si>
  <si>
    <t>Rf (%)</t>
  </si>
  <si>
    <t>β (%)</t>
  </si>
  <si>
    <t>Rm (%)</t>
  </si>
  <si>
    <t>Rr (%)</t>
  </si>
  <si>
    <t>Bonos a 30 años (%)</t>
  </si>
  <si>
    <t>Año</t>
  </si>
  <si>
    <t>CAPEX (USD)</t>
  </si>
  <si>
    <t>OPEX (USD)</t>
  </si>
  <si>
    <t>Ingresos por venta del gas (USD)</t>
  </si>
  <si>
    <t>Flujo de caja sin CERs (USD)</t>
  </si>
  <si>
    <t>Ingresos por venta de CERs (USD)</t>
  </si>
  <si>
    <t>Flujo de caja con CERs (USD)</t>
  </si>
  <si>
    <t>Volumen de gas recuperado (MMSCF)</t>
  </si>
  <si>
    <t>Tasa de retorno</t>
  </si>
  <si>
    <t>Bonos del tesoro Americano a 30 años (año 20011)</t>
  </si>
  <si>
    <t>Rf: tasa libre de riesgo (risk free rate): media de los bonos del tesoro Americano a 30 años (tabla de la izquierda)</t>
  </si>
  <si>
    <t>β: índice beta: indica, para el sector del petróleo, la sensibilidad de los rendimientos extraordinarios de un valor a los del mercado</t>
  </si>
  <si>
    <t>Rm: prima de mercado (mature market premium): total risk Premium para EEUU</t>
  </si>
  <si>
    <t>Rr: prima de riesgo del país (country risk premium): valor para Libia</t>
  </si>
  <si>
    <t>Reducción de emisiones (tCO2)</t>
  </si>
  <si>
    <t>Datos</t>
  </si>
  <si>
    <t>Precio de venta del gas (USD/MMBTU)</t>
  </si>
  <si>
    <t>LHV gas recuperado (BTU/SCF)</t>
  </si>
  <si>
    <t>Precio (€)</t>
  </si>
  <si>
    <t>Previsiones precio "green CERs"</t>
  </si>
  <si>
    <t>USD/€ (25/01/2011)</t>
  </si>
  <si>
    <t>IRR</t>
  </si>
  <si>
    <t>R1</t>
  </si>
  <si>
    <t>R2</t>
  </si>
  <si>
    <t>Sin CERs</t>
  </si>
  <si>
    <t>Con CERs</t>
  </si>
  <si>
    <t>MMSCFD</t>
  </si>
  <si>
    <t>MMSCF</t>
  </si>
  <si>
    <t>Análisis financiero</t>
  </si>
  <si>
    <t>Flujo de caja</t>
  </si>
  <si>
    <t>Parámetro</t>
  </si>
  <si>
    <t>OPEX</t>
  </si>
  <si>
    <t>CAPEX</t>
  </si>
  <si>
    <t>NPV @ Ri (MMUSD)</t>
  </si>
  <si>
    <t>Fujo de caja modificado sin CERs</t>
  </si>
  <si>
    <t>Precio de venta del gas</t>
  </si>
  <si>
    <t>Flujo de caja modificado con CERs</t>
  </si>
  <si>
    <t>Cambio requerido</t>
  </si>
  <si>
    <t>Precio CERs</t>
  </si>
  <si>
    <t>R1=14,82%</t>
  </si>
  <si>
    <t>R2=11,50%</t>
  </si>
  <si>
    <t xml:space="preserve">CAPEX </t>
  </si>
  <si>
    <t>Precio del gas</t>
  </si>
  <si>
    <t>Precio  CERs</t>
  </si>
  <si>
    <t xml:space="preserve">OPEX </t>
  </si>
  <si>
    <t>Análisis de sensibilidad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</si>
</sst>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33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rgb="FF92D050"/>
      </right>
      <top/>
      <bottom/>
      <diagonal/>
    </border>
    <border>
      <left/>
      <right style="thin">
        <color rgb="FF92D050"/>
      </right>
      <top style="thin">
        <color theme="0"/>
      </top>
      <bottom style="thin">
        <color theme="0"/>
      </bottom>
      <diagonal/>
    </border>
    <border>
      <left/>
      <right style="thin">
        <color rgb="FF92D050"/>
      </right>
      <top/>
      <bottom style="thin">
        <color theme="0"/>
      </bottom>
      <diagonal/>
    </border>
    <border>
      <left/>
      <right style="thin">
        <color rgb="FF92D050"/>
      </right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41">
    <xf numFmtId="0" fontId="0" fillId="0" borderId="0" xfId="0"/>
    <xf numFmtId="2" fontId="0" fillId="0" borderId="0" xfId="0" applyNumberFormat="1"/>
    <xf numFmtId="0" fontId="0" fillId="0" borderId="0" xfId="0" applyNumberFormat="1"/>
    <xf numFmtId="0" fontId="0" fillId="0" borderId="0" xfId="0" applyNumberFormat="1" applyFont="1"/>
    <xf numFmtId="2" fontId="0" fillId="0" borderId="0" xfId="0" applyNumberFormat="1" applyFill="1"/>
    <xf numFmtId="0" fontId="0" fillId="0" borderId="0" xfId="1" applyNumberFormat="1" applyFont="1" applyBorder="1"/>
    <xf numFmtId="0" fontId="0" fillId="0" borderId="0" xfId="0" applyNumberFormat="1" applyBorder="1"/>
    <xf numFmtId="0" fontId="0" fillId="0" borderId="0" xfId="0" applyBorder="1"/>
    <xf numFmtId="10" fontId="2" fillId="3" borderId="0" xfId="1" applyNumberFormat="1" applyFont="1" applyFill="1" applyBorder="1"/>
    <xf numFmtId="14" fontId="0" fillId="0" borderId="0" xfId="0" applyNumberFormat="1" applyBorder="1"/>
    <xf numFmtId="0" fontId="8" fillId="4" borderId="0" xfId="2" applyFont="1" applyFill="1" applyBorder="1" applyAlignment="1">
      <alignment horizontal="center"/>
    </xf>
    <xf numFmtId="0" fontId="6" fillId="5" borderId="1" xfId="2" applyFont="1" applyFill="1" applyBorder="1"/>
    <xf numFmtId="0" fontId="6" fillId="5" borderId="2" xfId="2" applyFont="1" applyFill="1" applyBorder="1"/>
    <xf numFmtId="10" fontId="6" fillId="5" borderId="2" xfId="2" applyNumberFormat="1" applyFont="1" applyFill="1" applyBorder="1"/>
    <xf numFmtId="0" fontId="6" fillId="5" borderId="3" xfId="2" applyFont="1" applyFill="1" applyBorder="1"/>
    <xf numFmtId="0" fontId="6" fillId="5" borderId="4" xfId="2" applyFont="1" applyFill="1" applyBorder="1"/>
    <xf numFmtId="0" fontId="6" fillId="5" borderId="0" xfId="2" applyFont="1" applyFill="1" applyBorder="1"/>
    <xf numFmtId="0" fontId="6" fillId="5" borderId="5" xfId="2" applyFont="1" applyFill="1" applyBorder="1"/>
    <xf numFmtId="0" fontId="8" fillId="4" borderId="0" xfId="2" applyFont="1" applyFill="1" applyAlignment="1">
      <alignment horizontal="center"/>
    </xf>
    <xf numFmtId="0" fontId="8" fillId="4" borderId="0" xfId="2" applyNumberFormat="1" applyFont="1" applyFill="1" applyAlignment="1">
      <alignment horizontal="center"/>
    </xf>
    <xf numFmtId="0" fontId="8" fillId="4" borderId="0" xfId="2" applyNumberFormat="1" applyFont="1" applyFill="1" applyAlignment="1">
      <alignment horizontal="center" vertical="center" wrapText="1"/>
    </xf>
    <xf numFmtId="0" fontId="8" fillId="4" borderId="0" xfId="2" applyNumberFormat="1" applyFont="1" applyFill="1" applyAlignment="1">
      <alignment horizontal="center" wrapText="1"/>
    </xf>
    <xf numFmtId="0" fontId="8" fillId="4" borderId="0" xfId="2" applyFont="1" applyFill="1" applyAlignment="1">
      <alignment horizontal="left" vertical="center" wrapText="1"/>
    </xf>
    <xf numFmtId="0" fontId="8" fillId="4" borderId="0" xfId="2" applyNumberFormat="1" applyFont="1" applyFill="1" applyAlignment="1">
      <alignment horizontal="left" vertical="center" wrapText="1"/>
    </xf>
    <xf numFmtId="0" fontId="8" fillId="4" borderId="0" xfId="2" applyFont="1" applyFill="1" applyAlignment="1">
      <alignment wrapText="1"/>
    </xf>
    <xf numFmtId="0" fontId="0" fillId="0" borderId="0" xfId="0" applyAlignment="1">
      <alignment horizontal="center"/>
    </xf>
    <xf numFmtId="0" fontId="8" fillId="4" borderId="9" xfId="2" applyFont="1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8" fillId="4" borderId="7" xfId="0" applyNumberFormat="1" applyFont="1" applyFill="1" applyBorder="1" applyAlignment="1">
      <alignment horizontal="center"/>
    </xf>
    <xf numFmtId="2" fontId="0" fillId="0" borderId="0" xfId="1" applyNumberFormat="1" applyFont="1" applyBorder="1"/>
    <xf numFmtId="2" fontId="0" fillId="0" borderId="0" xfId="0" applyNumberFormat="1" applyBorder="1"/>
    <xf numFmtId="2" fontId="0" fillId="6" borderId="0" xfId="0" applyNumberFormat="1" applyFill="1"/>
    <xf numFmtId="2" fontId="0" fillId="7" borderId="0" xfId="0" applyNumberFormat="1" applyFill="1"/>
    <xf numFmtId="0" fontId="8" fillId="6" borderId="5" xfId="0" applyNumberFormat="1" applyFont="1" applyFill="1" applyBorder="1"/>
    <xf numFmtId="2" fontId="9" fillId="6" borderId="0" xfId="0" applyNumberFormat="1" applyFont="1" applyFill="1" applyBorder="1" applyAlignment="1">
      <alignment horizontal="right"/>
    </xf>
    <xf numFmtId="2" fontId="9" fillId="6" borderId="3" xfId="0" applyNumberFormat="1" applyFont="1" applyFill="1" applyBorder="1" applyAlignment="1">
      <alignment horizontal="right"/>
    </xf>
    <xf numFmtId="0" fontId="8" fillId="6" borderId="0" xfId="0" applyNumberFormat="1" applyFont="1" applyFill="1" applyBorder="1"/>
    <xf numFmtId="0" fontId="8" fillId="7" borderId="0" xfId="0" applyNumberFormat="1" applyFont="1" applyFill="1" applyBorder="1"/>
    <xf numFmtId="2" fontId="9" fillId="7" borderId="4" xfId="0" applyNumberFormat="1" applyFont="1" applyFill="1" applyBorder="1" applyAlignment="1">
      <alignment horizontal="right"/>
    </xf>
    <xf numFmtId="2" fontId="2" fillId="7" borderId="5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2" fillId="0" borderId="0" xfId="0" applyFont="1"/>
    <xf numFmtId="2" fontId="6" fillId="0" borderId="0" xfId="0" applyNumberFormat="1" applyFont="1" applyFill="1"/>
    <xf numFmtId="0" fontId="8" fillId="4" borderId="0" xfId="0" applyFont="1" applyFill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10" fontId="6" fillId="6" borderId="0" xfId="0" applyNumberFormat="1" applyFont="1" applyFill="1"/>
    <xf numFmtId="0" fontId="6" fillId="6" borderId="1" xfId="0" applyFont="1" applyFill="1" applyBorder="1" applyAlignment="1">
      <alignment horizontal="left"/>
    </xf>
    <xf numFmtId="164" fontId="2" fillId="6" borderId="3" xfId="0" applyNumberFormat="1" applyFont="1" applyFill="1" applyBorder="1"/>
    <xf numFmtId="0" fontId="6" fillId="6" borderId="4" xfId="0" applyFont="1" applyFill="1" applyBorder="1" applyAlignment="1">
      <alignment horizontal="left"/>
    </xf>
    <xf numFmtId="164" fontId="2" fillId="6" borderId="5" xfId="0" applyNumberFormat="1" applyFont="1" applyFill="1" applyBorder="1"/>
    <xf numFmtId="164" fontId="2" fillId="6" borderId="8" xfId="0" applyNumberFormat="1" applyFont="1" applyFill="1" applyBorder="1" applyAlignment="1">
      <alignment vertical="center"/>
    </xf>
    <xf numFmtId="164" fontId="2" fillId="7" borderId="3" xfId="0" applyNumberFormat="1" applyFont="1" applyFill="1" applyBorder="1"/>
    <xf numFmtId="164" fontId="2" fillId="7" borderId="5" xfId="0" applyNumberFormat="1" applyFont="1" applyFill="1" applyBorder="1"/>
    <xf numFmtId="164" fontId="2" fillId="7" borderId="5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10" fontId="6" fillId="6" borderId="0" xfId="0" applyNumberFormat="1" applyFont="1" applyFill="1" applyBorder="1" applyAlignment="1">
      <alignment vertical="center"/>
    </xf>
    <xf numFmtId="0" fontId="8" fillId="4" borderId="15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 vertical="center"/>
    </xf>
    <xf numFmtId="2" fontId="0" fillId="0" borderId="0" xfId="0" applyNumberFormat="1" applyAlignment="1"/>
    <xf numFmtId="0" fontId="0" fillId="0" borderId="0" xfId="0" applyAlignment="1"/>
    <xf numFmtId="0" fontId="6" fillId="6" borderId="6" xfId="0" applyFont="1" applyFill="1" applyBorder="1" applyAlignment="1">
      <alignment horizontal="left" vertical="center"/>
    </xf>
    <xf numFmtId="164" fontId="2" fillId="7" borderId="8" xfId="0" applyNumberFormat="1" applyFont="1" applyFill="1" applyBorder="1" applyAlignment="1"/>
    <xf numFmtId="10" fontId="0" fillId="7" borderId="0" xfId="0" applyNumberFormat="1" applyFill="1" applyBorder="1"/>
    <xf numFmtId="0" fontId="0" fillId="7" borderId="6" xfId="0" applyFill="1" applyBorder="1" applyAlignment="1"/>
    <xf numFmtId="0" fontId="0" fillId="7" borderId="0" xfId="0" applyFill="1" applyBorder="1"/>
    <xf numFmtId="0" fontId="0" fillId="0" borderId="17" xfId="0" applyBorder="1"/>
    <xf numFmtId="0" fontId="0" fillId="0" borderId="16" xfId="0" applyBorder="1"/>
    <xf numFmtId="0" fontId="7" fillId="0" borderId="16" xfId="0" applyFont="1" applyFill="1" applyBorder="1" applyAlignment="1">
      <alignment vertical="center" wrapText="1"/>
    </xf>
    <xf numFmtId="0" fontId="0" fillId="0" borderId="0" xfId="0" applyFill="1"/>
    <xf numFmtId="0" fontId="8" fillId="0" borderId="24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2" fontId="0" fillId="0" borderId="25" xfId="0" applyNumberFormat="1" applyFill="1" applyBorder="1"/>
    <xf numFmtId="0" fontId="0" fillId="0" borderId="20" xfId="0" applyBorder="1"/>
    <xf numFmtId="0" fontId="0" fillId="0" borderId="21" xfId="0" applyBorder="1"/>
    <xf numFmtId="2" fontId="0" fillId="0" borderId="22" xfId="0" applyNumberFormat="1" applyFill="1" applyBorder="1"/>
    <xf numFmtId="2" fontId="0" fillId="0" borderId="26" xfId="0" applyNumberFormat="1" applyFill="1" applyBorder="1" applyAlignment="1"/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0" fillId="0" borderId="19" xfId="0" applyBorder="1"/>
    <xf numFmtId="2" fontId="0" fillId="0" borderId="26" xfId="0" applyNumberFormat="1" applyFill="1" applyBorder="1"/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/>
    </xf>
    <xf numFmtId="10" fontId="0" fillId="7" borderId="23" xfId="0" applyNumberFormat="1" applyFill="1" applyBorder="1"/>
    <xf numFmtId="10" fontId="0" fillId="7" borderId="23" xfId="0" applyNumberFormat="1" applyFill="1" applyBorder="1" applyAlignment="1">
      <alignment horizontal="right" vertical="center"/>
    </xf>
    <xf numFmtId="10" fontId="0" fillId="7" borderId="23" xfId="0" applyNumberFormat="1" applyFill="1" applyBorder="1" applyAlignment="1"/>
    <xf numFmtId="10" fontId="6" fillId="6" borderId="4" xfId="0" applyNumberFormat="1" applyFont="1" applyFill="1" applyBorder="1" applyAlignment="1">
      <alignment vertical="center"/>
    </xf>
    <xf numFmtId="10" fontId="0" fillId="7" borderId="4" xfId="0" applyNumberFormat="1" applyFill="1" applyBorder="1" applyAlignment="1"/>
    <xf numFmtId="0" fontId="8" fillId="6" borderId="1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0" fontId="8" fillId="6" borderId="6" xfId="0" applyFont="1" applyFill="1" applyBorder="1" applyAlignment="1">
      <alignment horizontal="left" vertical="center"/>
    </xf>
    <xf numFmtId="0" fontId="8" fillId="7" borderId="1" xfId="0" applyFont="1" applyFill="1" applyBorder="1"/>
    <xf numFmtId="0" fontId="8" fillId="7" borderId="4" xfId="0" applyFont="1" applyFill="1" applyBorder="1"/>
    <xf numFmtId="0" fontId="8" fillId="7" borderId="4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0" fontId="0" fillId="0" borderId="27" xfId="0" applyBorder="1"/>
    <xf numFmtId="0" fontId="0" fillId="0" borderId="27" xfId="0" applyBorder="1" applyAlignment="1">
      <alignment vertical="center"/>
    </xf>
    <xf numFmtId="0" fontId="0" fillId="0" borderId="27" xfId="0" applyBorder="1" applyAlignment="1"/>
    <xf numFmtId="0" fontId="8" fillId="4" borderId="28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7" xfId="2" applyNumberFormat="1" applyFont="1" applyFill="1" applyBorder="1" applyAlignment="1">
      <alignment horizontal="center" vertical="center" wrapText="1"/>
    </xf>
    <xf numFmtId="0" fontId="8" fillId="4" borderId="27" xfId="0" applyNumberFormat="1" applyFont="1" applyFill="1" applyBorder="1" applyAlignment="1">
      <alignment horizontal="center"/>
    </xf>
    <xf numFmtId="0" fontId="8" fillId="4" borderId="30" xfId="2" applyFont="1" applyFill="1" applyBorder="1" applyAlignment="1">
      <alignment horizontal="center"/>
    </xf>
    <xf numFmtId="0" fontId="0" fillId="0" borderId="27" xfId="2" applyFont="1" applyFill="1" applyBorder="1" applyAlignment="1">
      <alignment horizontal="center"/>
    </xf>
    <xf numFmtId="0" fontId="8" fillId="4" borderId="27" xfId="2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5" borderId="6" xfId="2" applyFont="1" applyFill="1" applyBorder="1" applyAlignment="1">
      <alignment horizontal="center"/>
    </xf>
    <xf numFmtId="0" fontId="6" fillId="5" borderId="7" xfId="2" applyFont="1" applyFill="1" applyBorder="1" applyAlignment="1">
      <alignment horizontal="center"/>
    </xf>
    <xf numFmtId="0" fontId="6" fillId="5" borderId="8" xfId="2" applyFont="1" applyFill="1" applyBorder="1" applyAlignment="1">
      <alignment horizontal="center"/>
    </xf>
    <xf numFmtId="0" fontId="7" fillId="4" borderId="10" xfId="2" applyFont="1" applyFill="1" applyBorder="1" applyAlignment="1">
      <alignment horizontal="center" wrapText="1"/>
    </xf>
    <xf numFmtId="0" fontId="7" fillId="4" borderId="29" xfId="2" applyFont="1" applyFill="1" applyBorder="1" applyAlignment="1">
      <alignment horizontal="center" wrapText="1"/>
    </xf>
    <xf numFmtId="0" fontId="7" fillId="4" borderId="10" xfId="2" applyFont="1" applyFill="1" applyBorder="1" applyAlignment="1">
      <alignment horizontal="center"/>
    </xf>
    <xf numFmtId="0" fontId="7" fillId="4" borderId="29" xfId="2" applyFont="1" applyFill="1" applyBorder="1" applyAlignment="1">
      <alignment horizontal="center"/>
    </xf>
    <xf numFmtId="0" fontId="6" fillId="5" borderId="4" xfId="2" applyFont="1" applyFill="1" applyBorder="1" applyAlignment="1">
      <alignment horizontal="center"/>
    </xf>
    <xf numFmtId="0" fontId="6" fillId="5" borderId="0" xfId="2" applyFont="1" applyFill="1" applyBorder="1" applyAlignment="1">
      <alignment horizontal="center"/>
    </xf>
    <xf numFmtId="0" fontId="6" fillId="5" borderId="5" xfId="2" applyFont="1" applyFill="1" applyBorder="1" applyAlignment="1">
      <alignment horizontal="center"/>
    </xf>
    <xf numFmtId="0" fontId="7" fillId="4" borderId="0" xfId="2" applyFont="1" applyFill="1" applyBorder="1" applyAlignment="1">
      <alignment horizontal="center" vertical="center"/>
    </xf>
    <xf numFmtId="0" fontId="7" fillId="4" borderId="27" xfId="2" applyFont="1" applyFill="1" applyBorder="1" applyAlignment="1">
      <alignment horizontal="center" vertical="center"/>
    </xf>
    <xf numFmtId="0" fontId="7" fillId="4" borderId="0" xfId="2" applyFont="1" applyFill="1" applyAlignment="1">
      <alignment horizontal="center"/>
    </xf>
    <xf numFmtId="0" fontId="8" fillId="6" borderId="0" xfId="0" applyNumberFormat="1" applyFont="1" applyFill="1" applyBorder="1" applyAlignment="1">
      <alignment horizontal="center" vertical="center"/>
    </xf>
    <xf numFmtId="0" fontId="8" fillId="7" borderId="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10" fontId="9" fillId="6" borderId="4" xfId="0" applyNumberFormat="1" applyFont="1" applyFill="1" applyBorder="1" applyAlignment="1">
      <alignment horizontal="center"/>
    </xf>
    <xf numFmtId="10" fontId="9" fillId="6" borderId="5" xfId="0" applyNumberFormat="1" applyFont="1" applyFill="1" applyBorder="1" applyAlignment="1">
      <alignment horizontal="center"/>
    </xf>
    <xf numFmtId="10" fontId="9" fillId="7" borderId="6" xfId="0" applyNumberFormat="1" applyFont="1" applyFill="1" applyBorder="1" applyAlignment="1">
      <alignment horizontal="center"/>
    </xf>
    <xf numFmtId="10" fontId="9" fillId="7" borderId="8" xfId="0" applyNumberFormat="1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</cellXfs>
  <cellStyles count="3">
    <cellStyle name="20% - Énfasis1" xfId="2" builtinId="30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76200</xdr:colOff>
      <xdr:row>7</xdr:row>
      <xdr:rowOff>123825</xdr:rowOff>
    </xdr:from>
    <xdr:to>
      <xdr:col>13</xdr:col>
      <xdr:colOff>676275</xdr:colOff>
      <xdr:row>9</xdr:row>
      <xdr:rowOff>76200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1266825"/>
          <a:ext cx="21240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171450</xdr:rowOff>
    </xdr:from>
    <xdr:to>
      <xdr:col>8</xdr:col>
      <xdr:colOff>148590</xdr:colOff>
      <xdr:row>22</xdr:row>
      <xdr:rowOff>64770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076450"/>
          <a:ext cx="6035040" cy="217932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TextView.aspx?data=yieldYear&amp;year=201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253"/>
  <sheetViews>
    <sheetView workbookViewId="0">
      <selection activeCell="H4" sqref="H4"/>
    </sheetView>
  </sheetViews>
  <sheetFormatPr baseColWidth="10" defaultRowHeight="15" x14ac:dyDescent="0.25"/>
  <cols>
    <col min="2" max="2" width="10.7109375" bestFit="1" customWidth="1"/>
    <col min="3" max="3" width="35.140625" style="2" customWidth="1"/>
    <col min="5" max="5" width="5.140625" bestFit="1" customWidth="1"/>
    <col min="6" max="6" width="8.140625" bestFit="1" customWidth="1"/>
    <col min="7" max="8" width="7.28515625" bestFit="1" customWidth="1"/>
    <col min="9" max="9" width="6.28515625" bestFit="1" customWidth="1"/>
    <col min="10" max="10" width="8" bestFit="1" customWidth="1"/>
    <col min="11" max="11" width="7.140625" bestFit="1" customWidth="1"/>
  </cols>
  <sheetData>
    <row r="2" spans="1:18" x14ac:dyDescent="0.25">
      <c r="A2" s="98"/>
      <c r="B2" s="112" t="s">
        <v>15</v>
      </c>
      <c r="C2" s="113"/>
      <c r="E2" s="106"/>
      <c r="F2" s="114" t="s">
        <v>14</v>
      </c>
      <c r="G2" s="114"/>
      <c r="H2" s="114"/>
      <c r="I2" s="114"/>
      <c r="J2" s="114"/>
      <c r="K2" s="115"/>
    </row>
    <row r="3" spans="1:18" x14ac:dyDescent="0.25">
      <c r="A3" s="98"/>
      <c r="B3" s="10" t="s">
        <v>0</v>
      </c>
      <c r="C3" s="103" t="s">
        <v>5</v>
      </c>
      <c r="E3" s="98"/>
      <c r="F3" s="10" t="s">
        <v>1</v>
      </c>
      <c r="G3" s="10" t="s">
        <v>2</v>
      </c>
      <c r="H3" s="10" t="s">
        <v>3</v>
      </c>
      <c r="I3" s="10" t="s">
        <v>4</v>
      </c>
      <c r="J3" s="10" t="s">
        <v>28</v>
      </c>
      <c r="K3" s="107" t="s">
        <v>29</v>
      </c>
    </row>
    <row r="4" spans="1:18" x14ac:dyDescent="0.25">
      <c r="B4" s="9">
        <v>40546</v>
      </c>
      <c r="C4" s="6">
        <v>4.3899999999999997</v>
      </c>
      <c r="F4" s="30">
        <f>AVERAGE(C4:C253)</f>
        <v>3.9107999999999992</v>
      </c>
      <c r="G4" s="5">
        <v>1.53</v>
      </c>
      <c r="H4" s="31">
        <v>6</v>
      </c>
      <c r="I4" s="6">
        <v>1.73</v>
      </c>
      <c r="J4" s="8">
        <f>(F4+(G4*H4)+I4)%</f>
        <v>0.14820799999999998</v>
      </c>
      <c r="K4" s="8">
        <v>0.115</v>
      </c>
    </row>
    <row r="5" spans="1:18" x14ac:dyDescent="0.25">
      <c r="B5" s="9">
        <v>40547</v>
      </c>
      <c r="C5" s="6">
        <v>4.4400000000000004</v>
      </c>
    </row>
    <row r="6" spans="1:18" x14ac:dyDescent="0.25">
      <c r="B6" s="9">
        <v>40548</v>
      </c>
      <c r="C6" s="6">
        <v>4.55</v>
      </c>
    </row>
    <row r="7" spans="1:18" x14ac:dyDescent="0.25">
      <c r="B7" s="9">
        <v>40549</v>
      </c>
      <c r="C7" s="6">
        <v>4.53</v>
      </c>
    </row>
    <row r="8" spans="1:18" x14ac:dyDescent="0.25">
      <c r="B8" s="9">
        <v>40550</v>
      </c>
      <c r="C8" s="6">
        <v>4.4800000000000004</v>
      </c>
      <c r="E8" s="2"/>
      <c r="F8" s="11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4"/>
    </row>
    <row r="9" spans="1:18" x14ac:dyDescent="0.25">
      <c r="B9" s="9">
        <v>40553</v>
      </c>
      <c r="C9" s="6">
        <v>4.47</v>
      </c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</row>
    <row r="10" spans="1:18" x14ac:dyDescent="0.25">
      <c r="B10" s="9">
        <v>40554</v>
      </c>
      <c r="C10" s="6">
        <v>4.49</v>
      </c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</row>
    <row r="11" spans="1:18" x14ac:dyDescent="0.25">
      <c r="B11" s="9">
        <v>40555</v>
      </c>
      <c r="C11" s="6">
        <v>4.5199999999999996</v>
      </c>
      <c r="F11" s="116" t="s">
        <v>16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8"/>
    </row>
    <row r="12" spans="1:18" x14ac:dyDescent="0.25">
      <c r="B12" s="9">
        <v>40556</v>
      </c>
      <c r="C12" s="6">
        <v>4.5</v>
      </c>
      <c r="F12" s="116" t="s">
        <v>17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8"/>
    </row>
    <row r="13" spans="1:18" x14ac:dyDescent="0.25">
      <c r="B13" s="9">
        <v>40557</v>
      </c>
      <c r="C13" s="6">
        <v>4.53</v>
      </c>
      <c r="F13" s="116" t="s">
        <v>18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8"/>
    </row>
    <row r="14" spans="1:18" x14ac:dyDescent="0.25">
      <c r="B14" s="9">
        <v>40561</v>
      </c>
      <c r="C14" s="6">
        <v>4.5599999999999996</v>
      </c>
      <c r="F14" s="109" t="s">
        <v>19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1"/>
    </row>
    <row r="15" spans="1:18" x14ac:dyDescent="0.25">
      <c r="B15" s="9">
        <v>40562</v>
      </c>
      <c r="C15" s="6">
        <v>4.53</v>
      </c>
    </row>
    <row r="16" spans="1:18" x14ac:dyDescent="0.25">
      <c r="B16" s="9">
        <v>40563</v>
      </c>
      <c r="C16" s="6">
        <v>4.5999999999999996</v>
      </c>
    </row>
    <row r="17" spans="2:3" x14ac:dyDescent="0.25">
      <c r="B17" s="9">
        <v>40564</v>
      </c>
      <c r="C17" s="6">
        <v>4.57</v>
      </c>
    </row>
    <row r="18" spans="2:3" x14ac:dyDescent="0.25">
      <c r="B18" s="9">
        <v>40567</v>
      </c>
      <c r="C18" s="6">
        <v>4.55</v>
      </c>
    </row>
    <row r="19" spans="2:3" x14ac:dyDescent="0.25">
      <c r="B19" s="9">
        <v>40568</v>
      </c>
      <c r="C19" s="6">
        <v>4.4800000000000004</v>
      </c>
    </row>
    <row r="20" spans="2:3" x14ac:dyDescent="0.25">
      <c r="B20" s="9">
        <v>40569</v>
      </c>
      <c r="C20" s="6">
        <v>4.59</v>
      </c>
    </row>
    <row r="21" spans="2:3" x14ac:dyDescent="0.25">
      <c r="B21" s="9">
        <v>40570</v>
      </c>
      <c r="C21" s="6">
        <v>4.57</v>
      </c>
    </row>
    <row r="22" spans="2:3" x14ac:dyDescent="0.25">
      <c r="B22" s="9">
        <v>40571</v>
      </c>
      <c r="C22" s="6">
        <v>4.53</v>
      </c>
    </row>
    <row r="23" spans="2:3" x14ac:dyDescent="0.25">
      <c r="B23" s="9">
        <v>40574</v>
      </c>
      <c r="C23" s="6">
        <v>4.58</v>
      </c>
    </row>
    <row r="24" spans="2:3" x14ac:dyDescent="0.25">
      <c r="B24" s="9">
        <v>40575</v>
      </c>
      <c r="C24" s="6">
        <v>4.62</v>
      </c>
    </row>
    <row r="25" spans="2:3" x14ac:dyDescent="0.25">
      <c r="B25" s="9">
        <v>40576</v>
      </c>
      <c r="C25" s="6">
        <v>4.6399999999999997</v>
      </c>
    </row>
    <row r="26" spans="2:3" x14ac:dyDescent="0.25">
      <c r="B26" s="9">
        <v>40577</v>
      </c>
      <c r="C26" s="6">
        <v>4.67</v>
      </c>
    </row>
    <row r="27" spans="2:3" x14ac:dyDescent="0.25">
      <c r="B27" s="9">
        <v>40578</v>
      </c>
      <c r="C27" s="6">
        <v>4.7300000000000004</v>
      </c>
    </row>
    <row r="28" spans="2:3" x14ac:dyDescent="0.25">
      <c r="B28" s="9">
        <v>40581</v>
      </c>
      <c r="C28" s="6">
        <v>4.71</v>
      </c>
    </row>
    <row r="29" spans="2:3" x14ac:dyDescent="0.25">
      <c r="B29" s="9">
        <v>40582</v>
      </c>
      <c r="C29" s="6">
        <v>4.76</v>
      </c>
    </row>
    <row r="30" spans="2:3" x14ac:dyDescent="0.25">
      <c r="B30" s="9">
        <v>40583</v>
      </c>
      <c r="C30" s="6">
        <v>4.71</v>
      </c>
    </row>
    <row r="31" spans="2:3" x14ac:dyDescent="0.25">
      <c r="B31" s="9">
        <v>40584</v>
      </c>
      <c r="C31" s="6">
        <v>4.75</v>
      </c>
    </row>
    <row r="32" spans="2:3" x14ac:dyDescent="0.25">
      <c r="B32" s="9">
        <v>40585</v>
      </c>
      <c r="C32" s="6">
        <v>4.71</v>
      </c>
    </row>
    <row r="33" spans="2:3" x14ac:dyDescent="0.25">
      <c r="B33" s="9">
        <v>40588</v>
      </c>
      <c r="C33" s="6">
        <v>4.67</v>
      </c>
    </row>
    <row r="34" spans="2:3" x14ac:dyDescent="0.25">
      <c r="B34" s="9">
        <v>40589</v>
      </c>
      <c r="C34" s="6">
        <v>4.66</v>
      </c>
    </row>
    <row r="35" spans="2:3" x14ac:dyDescent="0.25">
      <c r="B35" s="9">
        <v>40590</v>
      </c>
      <c r="C35" s="6">
        <v>4.67</v>
      </c>
    </row>
    <row r="36" spans="2:3" x14ac:dyDescent="0.25">
      <c r="B36" s="9">
        <v>40591</v>
      </c>
      <c r="C36" s="6">
        <v>4.66</v>
      </c>
    </row>
    <row r="37" spans="2:3" x14ac:dyDescent="0.25">
      <c r="B37" s="9">
        <v>40592</v>
      </c>
      <c r="C37" s="6">
        <v>4.7</v>
      </c>
    </row>
    <row r="38" spans="2:3" x14ac:dyDescent="0.25">
      <c r="B38" s="9">
        <v>40596</v>
      </c>
      <c r="C38" s="6">
        <v>4.5999999999999996</v>
      </c>
    </row>
    <row r="39" spans="2:3" x14ac:dyDescent="0.25">
      <c r="B39" s="9">
        <v>40597</v>
      </c>
      <c r="C39" s="6">
        <v>4.59</v>
      </c>
    </row>
    <row r="40" spans="2:3" x14ac:dyDescent="0.25">
      <c r="B40" s="9">
        <v>40598</v>
      </c>
      <c r="C40" s="6">
        <v>4.54</v>
      </c>
    </row>
    <row r="41" spans="2:3" x14ac:dyDescent="0.25">
      <c r="B41" s="9">
        <v>40599</v>
      </c>
      <c r="C41" s="6">
        <v>4.51</v>
      </c>
    </row>
    <row r="42" spans="2:3" x14ac:dyDescent="0.25">
      <c r="B42" s="9">
        <v>40602</v>
      </c>
      <c r="C42" s="6">
        <v>4.49</v>
      </c>
    </row>
    <row r="43" spans="2:3" x14ac:dyDescent="0.25">
      <c r="B43" s="9">
        <v>40603</v>
      </c>
      <c r="C43" s="6">
        <v>4.4800000000000004</v>
      </c>
    </row>
    <row r="44" spans="2:3" x14ac:dyDescent="0.25">
      <c r="B44" s="9">
        <v>40604</v>
      </c>
      <c r="C44" s="6">
        <v>4.54</v>
      </c>
    </row>
    <row r="45" spans="2:3" x14ac:dyDescent="0.25">
      <c r="B45" s="9">
        <v>40605</v>
      </c>
      <c r="C45" s="6">
        <v>4.6399999999999997</v>
      </c>
    </row>
    <row r="46" spans="2:3" x14ac:dyDescent="0.25">
      <c r="B46" s="9">
        <v>40606</v>
      </c>
      <c r="C46" s="6">
        <v>4.5999999999999996</v>
      </c>
    </row>
    <row r="47" spans="2:3" x14ac:dyDescent="0.25">
      <c r="B47" s="9">
        <v>40609</v>
      </c>
      <c r="C47" s="6">
        <v>4.6100000000000003</v>
      </c>
    </row>
    <row r="48" spans="2:3" x14ac:dyDescent="0.25">
      <c r="B48" s="9">
        <v>40610</v>
      </c>
      <c r="C48" s="6">
        <v>4.66</v>
      </c>
    </row>
    <row r="49" spans="2:3" x14ac:dyDescent="0.25">
      <c r="B49" s="9">
        <v>40611</v>
      </c>
      <c r="C49" s="6">
        <v>4.5999999999999996</v>
      </c>
    </row>
    <row r="50" spans="2:3" x14ac:dyDescent="0.25">
      <c r="B50" s="9">
        <v>40612</v>
      </c>
      <c r="C50" s="6">
        <v>4.53</v>
      </c>
    </row>
    <row r="51" spans="2:3" x14ac:dyDescent="0.25">
      <c r="B51" s="9">
        <v>40613</v>
      </c>
      <c r="C51" s="6">
        <v>4.54</v>
      </c>
    </row>
    <row r="52" spans="2:3" x14ac:dyDescent="0.25">
      <c r="B52" s="9">
        <v>40616</v>
      </c>
      <c r="C52" s="6">
        <v>4.5199999999999996</v>
      </c>
    </row>
    <row r="53" spans="2:3" x14ac:dyDescent="0.25">
      <c r="B53" s="9">
        <v>40617</v>
      </c>
      <c r="C53" s="6">
        <v>4.47</v>
      </c>
    </row>
    <row r="54" spans="2:3" x14ac:dyDescent="0.25">
      <c r="B54" s="9">
        <v>40618</v>
      </c>
      <c r="C54" s="6">
        <v>4.38</v>
      </c>
    </row>
    <row r="55" spans="2:3" x14ac:dyDescent="0.25">
      <c r="B55" s="9">
        <v>40619</v>
      </c>
      <c r="C55" s="6">
        <v>4.42</v>
      </c>
    </row>
    <row r="56" spans="2:3" x14ac:dyDescent="0.25">
      <c r="B56" s="9">
        <v>40620</v>
      </c>
      <c r="C56" s="6">
        <v>4.43</v>
      </c>
    </row>
    <row r="57" spans="2:3" x14ac:dyDescent="0.25">
      <c r="B57" s="9">
        <v>40623</v>
      </c>
      <c r="C57" s="6">
        <v>4.45</v>
      </c>
    </row>
    <row r="58" spans="2:3" x14ac:dyDescent="0.25">
      <c r="B58" s="9">
        <v>40624</v>
      </c>
      <c r="C58" s="6">
        <v>4.4400000000000004</v>
      </c>
    </row>
    <row r="59" spans="2:3" x14ac:dyDescent="0.25">
      <c r="B59" s="9">
        <v>40625</v>
      </c>
      <c r="C59" s="6">
        <v>4.4400000000000004</v>
      </c>
    </row>
    <row r="60" spans="2:3" x14ac:dyDescent="0.25">
      <c r="B60" s="9">
        <v>40626</v>
      </c>
      <c r="C60" s="6">
        <v>4.4800000000000004</v>
      </c>
    </row>
    <row r="61" spans="2:3" x14ac:dyDescent="0.25">
      <c r="B61" s="9">
        <v>40627</v>
      </c>
      <c r="C61" s="6">
        <v>4.51</v>
      </c>
    </row>
    <row r="62" spans="2:3" x14ac:dyDescent="0.25">
      <c r="B62" s="9">
        <v>40630</v>
      </c>
      <c r="C62" s="6">
        <v>4.51</v>
      </c>
    </row>
    <row r="63" spans="2:3" x14ac:dyDescent="0.25">
      <c r="B63" s="9">
        <v>40631</v>
      </c>
      <c r="C63" s="6">
        <v>4.54</v>
      </c>
    </row>
    <row r="64" spans="2:3" x14ac:dyDescent="0.25">
      <c r="B64" s="9">
        <v>40632</v>
      </c>
      <c r="C64" s="6">
        <v>4.5199999999999996</v>
      </c>
    </row>
    <row r="65" spans="2:3" x14ac:dyDescent="0.25">
      <c r="B65" s="9">
        <v>40633</v>
      </c>
      <c r="C65" s="6">
        <v>4.51</v>
      </c>
    </row>
    <row r="66" spans="2:3" x14ac:dyDescent="0.25">
      <c r="B66" s="9">
        <v>40634</v>
      </c>
      <c r="C66" s="6">
        <v>4.4800000000000004</v>
      </c>
    </row>
    <row r="67" spans="2:3" x14ac:dyDescent="0.25">
      <c r="B67" s="9">
        <v>40637</v>
      </c>
      <c r="C67" s="6">
        <v>4.49</v>
      </c>
    </row>
    <row r="68" spans="2:3" x14ac:dyDescent="0.25">
      <c r="B68" s="9">
        <v>40638</v>
      </c>
      <c r="C68" s="6">
        <v>4.51</v>
      </c>
    </row>
    <row r="69" spans="2:3" x14ac:dyDescent="0.25">
      <c r="B69" s="9">
        <v>40639</v>
      </c>
      <c r="C69" s="6">
        <v>4.58</v>
      </c>
    </row>
    <row r="70" spans="2:3" x14ac:dyDescent="0.25">
      <c r="B70" s="9">
        <v>40640</v>
      </c>
      <c r="C70" s="6">
        <v>4.63</v>
      </c>
    </row>
    <row r="71" spans="2:3" x14ac:dyDescent="0.25">
      <c r="B71" s="9">
        <v>40641</v>
      </c>
      <c r="C71" s="6">
        <v>4.63</v>
      </c>
    </row>
    <row r="72" spans="2:3" x14ac:dyDescent="0.25">
      <c r="B72" s="9">
        <v>40644</v>
      </c>
      <c r="C72" s="6">
        <v>4.6399999999999997</v>
      </c>
    </row>
    <row r="73" spans="2:3" x14ac:dyDescent="0.25">
      <c r="B73" s="9">
        <v>40645</v>
      </c>
      <c r="C73" s="6">
        <v>4.58</v>
      </c>
    </row>
    <row r="74" spans="2:3" x14ac:dyDescent="0.25">
      <c r="B74" s="9">
        <v>40646</v>
      </c>
      <c r="C74" s="6">
        <v>4.55</v>
      </c>
    </row>
    <row r="75" spans="2:3" x14ac:dyDescent="0.25">
      <c r="B75" s="9">
        <v>40647</v>
      </c>
      <c r="C75" s="6">
        <v>4.53</v>
      </c>
    </row>
    <row r="76" spans="2:3" x14ac:dyDescent="0.25">
      <c r="B76" s="9">
        <v>40648</v>
      </c>
      <c r="C76" s="6">
        <v>4.47</v>
      </c>
    </row>
    <row r="77" spans="2:3" x14ac:dyDescent="0.25">
      <c r="B77" s="9">
        <v>40651</v>
      </c>
      <c r="C77" s="6">
        <v>4.45</v>
      </c>
    </row>
    <row r="78" spans="2:3" x14ac:dyDescent="0.25">
      <c r="B78" s="9">
        <v>40652</v>
      </c>
      <c r="C78" s="6">
        <v>4.43</v>
      </c>
    </row>
    <row r="79" spans="2:3" x14ac:dyDescent="0.25">
      <c r="B79" s="9">
        <v>40653</v>
      </c>
      <c r="C79" s="6">
        <v>4.47</v>
      </c>
    </row>
    <row r="80" spans="2:3" x14ac:dyDescent="0.25">
      <c r="B80" s="9">
        <v>40654</v>
      </c>
      <c r="C80" s="6">
        <v>4.47</v>
      </c>
    </row>
    <row r="81" spans="2:3" x14ac:dyDescent="0.25">
      <c r="B81" s="9">
        <v>40658</v>
      </c>
      <c r="C81" s="6">
        <v>4.46</v>
      </c>
    </row>
    <row r="82" spans="2:3" x14ac:dyDescent="0.25">
      <c r="B82" s="9">
        <v>40659</v>
      </c>
      <c r="C82" s="6">
        <v>4.3899999999999997</v>
      </c>
    </row>
    <row r="83" spans="2:3" x14ac:dyDescent="0.25">
      <c r="B83" s="9">
        <v>40660</v>
      </c>
      <c r="C83" s="6">
        <v>4.45</v>
      </c>
    </row>
    <row r="84" spans="2:3" x14ac:dyDescent="0.25">
      <c r="B84" s="9">
        <v>40661</v>
      </c>
      <c r="C84" s="6">
        <v>4.42</v>
      </c>
    </row>
    <row r="85" spans="2:3" x14ac:dyDescent="0.25">
      <c r="B85" s="9">
        <v>40662</v>
      </c>
      <c r="C85" s="6">
        <v>4.4000000000000004</v>
      </c>
    </row>
    <row r="86" spans="2:3" x14ac:dyDescent="0.25">
      <c r="B86" s="9">
        <v>40665</v>
      </c>
      <c r="C86" s="6">
        <v>4.38</v>
      </c>
    </row>
    <row r="87" spans="2:3" x14ac:dyDescent="0.25">
      <c r="B87" s="9">
        <v>40666</v>
      </c>
      <c r="C87" s="6">
        <v>4.3600000000000003</v>
      </c>
    </row>
    <row r="88" spans="2:3" x14ac:dyDescent="0.25">
      <c r="B88" s="9">
        <v>40667</v>
      </c>
      <c r="C88" s="6">
        <v>4.33</v>
      </c>
    </row>
    <row r="89" spans="2:3" x14ac:dyDescent="0.25">
      <c r="B89" s="9">
        <v>40668</v>
      </c>
      <c r="C89" s="6">
        <v>4.26</v>
      </c>
    </row>
    <row r="90" spans="2:3" x14ac:dyDescent="0.25">
      <c r="B90" s="9">
        <v>40669</v>
      </c>
      <c r="C90" s="6">
        <v>4.29</v>
      </c>
    </row>
    <row r="91" spans="2:3" x14ac:dyDescent="0.25">
      <c r="B91" s="9">
        <v>40672</v>
      </c>
      <c r="C91" s="6">
        <v>4.3</v>
      </c>
    </row>
    <row r="92" spans="2:3" x14ac:dyDescent="0.25">
      <c r="B92" s="9">
        <v>40673</v>
      </c>
      <c r="C92" s="6">
        <v>4.34</v>
      </c>
    </row>
    <row r="93" spans="2:3" x14ac:dyDescent="0.25">
      <c r="B93" s="9">
        <v>40674</v>
      </c>
      <c r="C93" s="6">
        <v>4.3099999999999996</v>
      </c>
    </row>
    <row r="94" spans="2:3" x14ac:dyDescent="0.25">
      <c r="B94" s="9">
        <v>40675</v>
      </c>
      <c r="C94" s="6">
        <v>4.37</v>
      </c>
    </row>
    <row r="95" spans="2:3" x14ac:dyDescent="0.25">
      <c r="B95" s="9">
        <v>40676</v>
      </c>
      <c r="C95" s="6">
        <v>4.32</v>
      </c>
    </row>
    <row r="96" spans="2:3" x14ac:dyDescent="0.25">
      <c r="B96" s="9">
        <v>40679</v>
      </c>
      <c r="C96" s="6">
        <v>4.28</v>
      </c>
    </row>
    <row r="97" spans="2:3" x14ac:dyDescent="0.25">
      <c r="B97" s="9">
        <v>40680</v>
      </c>
      <c r="C97" s="6">
        <v>4.2300000000000004</v>
      </c>
    </row>
    <row r="98" spans="2:3" x14ac:dyDescent="0.25">
      <c r="B98" s="9">
        <v>40681</v>
      </c>
      <c r="C98" s="6">
        <v>4.29</v>
      </c>
    </row>
    <row r="99" spans="2:3" x14ac:dyDescent="0.25">
      <c r="B99" s="9">
        <v>40682</v>
      </c>
      <c r="C99" s="6">
        <v>4.3</v>
      </c>
    </row>
    <row r="100" spans="2:3" x14ac:dyDescent="0.25">
      <c r="B100" s="9">
        <v>40683</v>
      </c>
      <c r="C100" s="6">
        <v>4.3</v>
      </c>
    </row>
    <row r="101" spans="2:3" x14ac:dyDescent="0.25">
      <c r="B101" s="9">
        <v>40686</v>
      </c>
      <c r="C101" s="6">
        <v>4.2699999999999996</v>
      </c>
    </row>
    <row r="102" spans="2:3" x14ac:dyDescent="0.25">
      <c r="B102" s="9">
        <v>40687</v>
      </c>
      <c r="C102" s="6">
        <v>4.26</v>
      </c>
    </row>
    <row r="103" spans="2:3" x14ac:dyDescent="0.25">
      <c r="B103" s="9">
        <v>40688</v>
      </c>
      <c r="C103" s="6">
        <v>4.28</v>
      </c>
    </row>
    <row r="104" spans="2:3" x14ac:dyDescent="0.25">
      <c r="B104" s="9">
        <v>40689</v>
      </c>
      <c r="C104" s="6">
        <v>4.2300000000000004</v>
      </c>
    </row>
    <row r="105" spans="2:3" x14ac:dyDescent="0.25">
      <c r="B105" s="9">
        <v>40690</v>
      </c>
      <c r="C105" s="6">
        <v>4.24</v>
      </c>
    </row>
    <row r="106" spans="2:3" x14ac:dyDescent="0.25">
      <c r="B106" s="9">
        <v>40694</v>
      </c>
      <c r="C106" s="6">
        <v>4.22</v>
      </c>
    </row>
    <row r="107" spans="2:3" x14ac:dyDescent="0.25">
      <c r="B107" s="9">
        <v>40695</v>
      </c>
      <c r="C107" s="6">
        <v>4.1500000000000004</v>
      </c>
    </row>
    <row r="108" spans="2:3" x14ac:dyDescent="0.25">
      <c r="B108" s="9">
        <v>40696</v>
      </c>
      <c r="C108" s="6">
        <v>4.25</v>
      </c>
    </row>
    <row r="109" spans="2:3" x14ac:dyDescent="0.25">
      <c r="B109" s="9">
        <v>40697</v>
      </c>
      <c r="C109" s="6">
        <v>4.22</v>
      </c>
    </row>
    <row r="110" spans="2:3" x14ac:dyDescent="0.25">
      <c r="B110" s="9">
        <v>40700</v>
      </c>
      <c r="C110" s="6">
        <v>4.25</v>
      </c>
    </row>
    <row r="111" spans="2:3" x14ac:dyDescent="0.25">
      <c r="B111" s="9">
        <v>40701</v>
      </c>
      <c r="C111" s="6">
        <v>4.2699999999999996</v>
      </c>
    </row>
    <row r="112" spans="2:3" x14ac:dyDescent="0.25">
      <c r="B112" s="9">
        <v>40702</v>
      </c>
      <c r="C112" s="6">
        <v>4.2</v>
      </c>
    </row>
    <row r="113" spans="2:3" x14ac:dyDescent="0.25">
      <c r="B113" s="9">
        <v>40703</v>
      </c>
      <c r="C113" s="6">
        <v>4.22</v>
      </c>
    </row>
    <row r="114" spans="2:3" x14ac:dyDescent="0.25">
      <c r="B114" s="9">
        <v>40704</v>
      </c>
      <c r="C114" s="6">
        <v>4.18</v>
      </c>
    </row>
    <row r="115" spans="2:3" x14ac:dyDescent="0.25">
      <c r="B115" s="9">
        <v>40707</v>
      </c>
      <c r="C115" s="6">
        <v>4.2</v>
      </c>
    </row>
    <row r="116" spans="2:3" x14ac:dyDescent="0.25">
      <c r="B116" s="9">
        <v>40708</v>
      </c>
      <c r="C116" s="6">
        <v>4.3</v>
      </c>
    </row>
    <row r="117" spans="2:3" x14ac:dyDescent="0.25">
      <c r="B117" s="9">
        <v>40709</v>
      </c>
      <c r="C117" s="6">
        <v>4.1900000000000004</v>
      </c>
    </row>
    <row r="118" spans="2:3" x14ac:dyDescent="0.25">
      <c r="B118" s="9">
        <v>40710</v>
      </c>
      <c r="C118" s="6">
        <v>4.16</v>
      </c>
    </row>
    <row r="119" spans="2:3" x14ac:dyDescent="0.25">
      <c r="B119" s="9">
        <v>40711</v>
      </c>
      <c r="C119" s="6">
        <v>4.1900000000000004</v>
      </c>
    </row>
    <row r="120" spans="2:3" x14ac:dyDescent="0.25">
      <c r="B120" s="9">
        <v>40714</v>
      </c>
      <c r="C120" s="6">
        <v>4.1900000000000004</v>
      </c>
    </row>
    <row r="121" spans="2:3" x14ac:dyDescent="0.25">
      <c r="B121" s="9">
        <v>40715</v>
      </c>
      <c r="C121" s="6">
        <v>4.21</v>
      </c>
    </row>
    <row r="122" spans="2:3" x14ac:dyDescent="0.25">
      <c r="B122" s="9">
        <v>40716</v>
      </c>
      <c r="C122" s="6">
        <v>4.22</v>
      </c>
    </row>
    <row r="123" spans="2:3" x14ac:dyDescent="0.25">
      <c r="B123" s="9">
        <v>40717</v>
      </c>
      <c r="C123" s="6">
        <v>4.17</v>
      </c>
    </row>
    <row r="124" spans="2:3" x14ac:dyDescent="0.25">
      <c r="B124" s="9">
        <v>40718</v>
      </c>
      <c r="C124" s="6">
        <v>4.17</v>
      </c>
    </row>
    <row r="125" spans="2:3" x14ac:dyDescent="0.25">
      <c r="B125" s="9">
        <v>40721</v>
      </c>
      <c r="C125" s="6">
        <v>4.28</v>
      </c>
    </row>
    <row r="126" spans="2:3" x14ac:dyDescent="0.25">
      <c r="B126" s="9">
        <v>40722</v>
      </c>
      <c r="C126" s="6">
        <v>4.33</v>
      </c>
    </row>
    <row r="127" spans="2:3" x14ac:dyDescent="0.25">
      <c r="B127" s="9">
        <v>40723</v>
      </c>
      <c r="C127" s="6">
        <v>4.3899999999999997</v>
      </c>
    </row>
    <row r="128" spans="2:3" x14ac:dyDescent="0.25">
      <c r="B128" s="9">
        <v>40724</v>
      </c>
      <c r="C128" s="6">
        <v>4.38</v>
      </c>
    </row>
    <row r="129" spans="2:3" x14ac:dyDescent="0.25">
      <c r="B129" s="9">
        <v>40725</v>
      </c>
      <c r="C129" s="6">
        <v>4.4000000000000004</v>
      </c>
    </row>
    <row r="130" spans="2:3" x14ac:dyDescent="0.25">
      <c r="B130" s="9">
        <v>40729</v>
      </c>
      <c r="C130" s="6">
        <v>4.3899999999999997</v>
      </c>
    </row>
    <row r="131" spans="2:3" x14ac:dyDescent="0.25">
      <c r="B131" s="9">
        <v>40730</v>
      </c>
      <c r="C131" s="6">
        <v>4.3499999999999996</v>
      </c>
    </row>
    <row r="132" spans="2:3" x14ac:dyDescent="0.25">
      <c r="B132" s="9">
        <v>40731</v>
      </c>
      <c r="C132" s="6">
        <v>4.37</v>
      </c>
    </row>
    <row r="133" spans="2:3" x14ac:dyDescent="0.25">
      <c r="B133" s="9">
        <v>40732</v>
      </c>
      <c r="C133" s="6">
        <v>4.2699999999999996</v>
      </c>
    </row>
    <row r="134" spans="2:3" x14ac:dyDescent="0.25">
      <c r="B134" s="9">
        <v>40735</v>
      </c>
      <c r="C134" s="6">
        <v>4.2</v>
      </c>
    </row>
    <row r="135" spans="2:3" x14ac:dyDescent="0.25">
      <c r="B135" s="9">
        <v>40736</v>
      </c>
      <c r="C135" s="6">
        <v>4.1900000000000004</v>
      </c>
    </row>
    <row r="136" spans="2:3" x14ac:dyDescent="0.25">
      <c r="B136" s="9">
        <v>40737</v>
      </c>
      <c r="C136" s="6">
        <v>4.17</v>
      </c>
    </row>
    <row r="137" spans="2:3" x14ac:dyDescent="0.25">
      <c r="B137" s="9">
        <v>40738</v>
      </c>
      <c r="C137" s="6">
        <v>4.25</v>
      </c>
    </row>
    <row r="138" spans="2:3" x14ac:dyDescent="0.25">
      <c r="B138" s="9">
        <v>40739</v>
      </c>
      <c r="C138" s="6">
        <v>4.26</v>
      </c>
    </row>
    <row r="139" spans="2:3" x14ac:dyDescent="0.25">
      <c r="B139" s="9">
        <v>40742</v>
      </c>
      <c r="C139" s="6">
        <v>4.29</v>
      </c>
    </row>
    <row r="140" spans="2:3" x14ac:dyDescent="0.25">
      <c r="B140" s="9">
        <v>40743</v>
      </c>
      <c r="C140" s="6">
        <v>4.1900000000000004</v>
      </c>
    </row>
    <row r="141" spans="2:3" x14ac:dyDescent="0.25">
      <c r="B141" s="9">
        <v>40744</v>
      </c>
      <c r="C141" s="6">
        <v>4.25</v>
      </c>
    </row>
    <row r="142" spans="2:3" x14ac:dyDescent="0.25">
      <c r="B142" s="9">
        <v>40745</v>
      </c>
      <c r="C142" s="6">
        <v>4.3099999999999996</v>
      </c>
    </row>
    <row r="143" spans="2:3" x14ac:dyDescent="0.25">
      <c r="B143" s="9">
        <v>40746</v>
      </c>
      <c r="C143" s="6">
        <v>4.26</v>
      </c>
    </row>
    <row r="144" spans="2:3" x14ac:dyDescent="0.25">
      <c r="B144" s="9">
        <v>40749</v>
      </c>
      <c r="C144" s="6">
        <v>4.3099999999999996</v>
      </c>
    </row>
    <row r="145" spans="2:3" x14ac:dyDescent="0.25">
      <c r="B145" s="9">
        <v>40750</v>
      </c>
      <c r="C145" s="6">
        <v>4.28</v>
      </c>
    </row>
    <row r="146" spans="2:3" x14ac:dyDescent="0.25">
      <c r="B146" s="9">
        <v>40751</v>
      </c>
      <c r="C146" s="6">
        <v>4.29</v>
      </c>
    </row>
    <row r="147" spans="2:3" x14ac:dyDescent="0.25">
      <c r="B147" s="9">
        <v>40752</v>
      </c>
      <c r="C147" s="6">
        <v>4.26</v>
      </c>
    </row>
    <row r="148" spans="2:3" x14ac:dyDescent="0.25">
      <c r="B148" s="9">
        <v>40753</v>
      </c>
      <c r="C148" s="6">
        <v>4.12</v>
      </c>
    </row>
    <row r="149" spans="2:3" x14ac:dyDescent="0.25">
      <c r="B149" s="9">
        <v>40756</v>
      </c>
      <c r="C149" s="6">
        <v>4.07</v>
      </c>
    </row>
    <row r="150" spans="2:3" x14ac:dyDescent="0.25">
      <c r="B150" s="9">
        <v>40757</v>
      </c>
      <c r="C150" s="6">
        <v>3.93</v>
      </c>
    </row>
    <row r="151" spans="2:3" x14ac:dyDescent="0.25">
      <c r="B151" s="9">
        <v>40758</v>
      </c>
      <c r="C151" s="6">
        <v>3.89</v>
      </c>
    </row>
    <row r="152" spans="2:3" x14ac:dyDescent="0.25">
      <c r="B152" s="9">
        <v>40759</v>
      </c>
      <c r="C152" s="6">
        <v>3.7</v>
      </c>
    </row>
    <row r="153" spans="2:3" x14ac:dyDescent="0.25">
      <c r="B153" s="9">
        <v>40760</v>
      </c>
      <c r="C153" s="6">
        <v>3.82</v>
      </c>
    </row>
    <row r="154" spans="2:3" x14ac:dyDescent="0.25">
      <c r="B154" s="9">
        <v>40763</v>
      </c>
      <c r="C154" s="6">
        <v>3.68</v>
      </c>
    </row>
    <row r="155" spans="2:3" x14ac:dyDescent="0.25">
      <c r="B155" s="9">
        <v>40764</v>
      </c>
      <c r="C155" s="6">
        <v>3.56</v>
      </c>
    </row>
    <row r="156" spans="2:3" x14ac:dyDescent="0.25">
      <c r="B156" s="9">
        <v>40765</v>
      </c>
      <c r="C156" s="6">
        <v>3.54</v>
      </c>
    </row>
    <row r="157" spans="2:3" x14ac:dyDescent="0.25">
      <c r="B157" s="9">
        <v>40766</v>
      </c>
      <c r="C157" s="6">
        <v>3.82</v>
      </c>
    </row>
    <row r="158" spans="2:3" x14ac:dyDescent="0.25">
      <c r="B158" s="9">
        <v>40767</v>
      </c>
      <c r="C158" s="6">
        <v>3.72</v>
      </c>
    </row>
    <row r="159" spans="2:3" x14ac:dyDescent="0.25">
      <c r="B159" s="9">
        <v>40770</v>
      </c>
      <c r="C159" s="6">
        <v>3.75</v>
      </c>
    </row>
    <row r="160" spans="2:3" x14ac:dyDescent="0.25">
      <c r="B160" s="9">
        <v>40771</v>
      </c>
      <c r="C160" s="6">
        <v>3.67</v>
      </c>
    </row>
    <row r="161" spans="2:3" x14ac:dyDescent="0.25">
      <c r="B161" s="9">
        <v>40772</v>
      </c>
      <c r="C161" s="6">
        <v>3.57</v>
      </c>
    </row>
    <row r="162" spans="2:3" x14ac:dyDescent="0.25">
      <c r="B162" s="9">
        <v>40773</v>
      </c>
      <c r="C162" s="6">
        <v>3.45</v>
      </c>
    </row>
    <row r="163" spans="2:3" x14ac:dyDescent="0.25">
      <c r="B163" s="9">
        <v>40774</v>
      </c>
      <c r="C163" s="6">
        <v>3.39</v>
      </c>
    </row>
    <row r="164" spans="2:3" x14ac:dyDescent="0.25">
      <c r="B164" s="9">
        <v>40777</v>
      </c>
      <c r="C164" s="6">
        <v>3.42</v>
      </c>
    </row>
    <row r="165" spans="2:3" x14ac:dyDescent="0.25">
      <c r="B165" s="9">
        <v>40778</v>
      </c>
      <c r="C165" s="6">
        <v>3.47</v>
      </c>
    </row>
    <row r="166" spans="2:3" x14ac:dyDescent="0.25">
      <c r="B166" s="9">
        <v>40779</v>
      </c>
      <c r="C166" s="6">
        <v>3.63</v>
      </c>
    </row>
    <row r="167" spans="2:3" x14ac:dyDescent="0.25">
      <c r="B167" s="9">
        <v>40780</v>
      </c>
      <c r="C167" s="6">
        <v>3.6</v>
      </c>
    </row>
    <row r="168" spans="2:3" x14ac:dyDescent="0.25">
      <c r="B168" s="9">
        <v>40781</v>
      </c>
      <c r="C168" s="6">
        <v>3.54</v>
      </c>
    </row>
    <row r="169" spans="2:3" x14ac:dyDescent="0.25">
      <c r="B169" s="9">
        <v>40784</v>
      </c>
      <c r="C169" s="6">
        <v>3.63</v>
      </c>
    </row>
    <row r="170" spans="2:3" x14ac:dyDescent="0.25">
      <c r="B170" s="9">
        <v>40785</v>
      </c>
      <c r="C170" s="6">
        <v>3.53</v>
      </c>
    </row>
    <row r="171" spans="2:3" x14ac:dyDescent="0.25">
      <c r="B171" s="9">
        <v>40786</v>
      </c>
      <c r="C171" s="6">
        <v>3.6</v>
      </c>
    </row>
    <row r="172" spans="2:3" x14ac:dyDescent="0.25">
      <c r="B172" s="9">
        <v>40787</v>
      </c>
      <c r="C172" s="6">
        <v>3.51</v>
      </c>
    </row>
    <row r="173" spans="2:3" x14ac:dyDescent="0.25">
      <c r="B173" s="9">
        <v>40788</v>
      </c>
      <c r="C173" s="6">
        <v>3.32</v>
      </c>
    </row>
    <row r="174" spans="2:3" x14ac:dyDescent="0.25">
      <c r="B174" s="9">
        <v>40792</v>
      </c>
      <c r="C174" s="6">
        <v>3.26</v>
      </c>
    </row>
    <row r="175" spans="2:3" x14ac:dyDescent="0.25">
      <c r="B175" s="9">
        <v>40793</v>
      </c>
      <c r="C175" s="6">
        <v>3.36</v>
      </c>
    </row>
    <row r="176" spans="2:3" x14ac:dyDescent="0.25">
      <c r="B176" s="9">
        <v>40794</v>
      </c>
      <c r="C176" s="6">
        <v>3.32</v>
      </c>
    </row>
    <row r="177" spans="2:3" x14ac:dyDescent="0.25">
      <c r="B177" s="9">
        <v>40795</v>
      </c>
      <c r="C177" s="6">
        <v>3.26</v>
      </c>
    </row>
    <row r="178" spans="2:3" x14ac:dyDescent="0.25">
      <c r="B178" s="9">
        <v>40798</v>
      </c>
      <c r="C178" s="6">
        <v>3.24</v>
      </c>
    </row>
    <row r="179" spans="2:3" x14ac:dyDescent="0.25">
      <c r="B179" s="9">
        <v>40799</v>
      </c>
      <c r="C179" s="6">
        <v>3.32</v>
      </c>
    </row>
    <row r="180" spans="2:3" x14ac:dyDescent="0.25">
      <c r="B180" s="9">
        <v>40800</v>
      </c>
      <c r="C180" s="6">
        <v>3.32</v>
      </c>
    </row>
    <row r="181" spans="2:3" x14ac:dyDescent="0.25">
      <c r="B181" s="9">
        <v>40801</v>
      </c>
      <c r="C181" s="6">
        <v>3.36</v>
      </c>
    </row>
    <row r="182" spans="2:3" x14ac:dyDescent="0.25">
      <c r="B182" s="9">
        <v>40802</v>
      </c>
      <c r="C182" s="6">
        <v>3.34</v>
      </c>
    </row>
    <row r="183" spans="2:3" x14ac:dyDescent="0.25">
      <c r="B183" s="9">
        <v>40805</v>
      </c>
      <c r="C183" s="6">
        <v>3.22</v>
      </c>
    </row>
    <row r="184" spans="2:3" x14ac:dyDescent="0.25">
      <c r="B184" s="9">
        <v>40806</v>
      </c>
      <c r="C184" s="6">
        <v>3.2</v>
      </c>
    </row>
    <row r="185" spans="2:3" x14ac:dyDescent="0.25">
      <c r="B185" s="9">
        <v>40807</v>
      </c>
      <c r="C185" s="6">
        <v>3.03</v>
      </c>
    </row>
    <row r="186" spans="2:3" x14ac:dyDescent="0.25">
      <c r="B186" s="9">
        <v>40808</v>
      </c>
      <c r="C186" s="6">
        <v>2.78</v>
      </c>
    </row>
    <row r="187" spans="2:3" x14ac:dyDescent="0.25">
      <c r="B187" s="9">
        <v>40809</v>
      </c>
      <c r="C187" s="6">
        <v>2.89</v>
      </c>
    </row>
    <row r="188" spans="2:3" x14ac:dyDescent="0.25">
      <c r="B188" s="9">
        <v>40812</v>
      </c>
      <c r="C188" s="6">
        <v>2.99</v>
      </c>
    </row>
    <row r="189" spans="2:3" x14ac:dyDescent="0.25">
      <c r="B189" s="9">
        <v>40813</v>
      </c>
      <c r="C189" s="6">
        <v>3.08</v>
      </c>
    </row>
    <row r="190" spans="2:3" x14ac:dyDescent="0.25">
      <c r="B190" s="9">
        <v>40814</v>
      </c>
      <c r="C190" s="6">
        <v>3.1</v>
      </c>
    </row>
    <row r="191" spans="2:3" x14ac:dyDescent="0.25">
      <c r="B191" s="9">
        <v>40815</v>
      </c>
      <c r="C191" s="6">
        <v>3.03</v>
      </c>
    </row>
    <row r="192" spans="2:3" x14ac:dyDescent="0.25">
      <c r="B192" s="9">
        <v>40816</v>
      </c>
      <c r="C192" s="6">
        <v>2.9</v>
      </c>
    </row>
    <row r="193" spans="2:3" x14ac:dyDescent="0.25">
      <c r="B193" s="9">
        <v>40819</v>
      </c>
      <c r="C193" s="6">
        <v>2.76</v>
      </c>
    </row>
    <row r="194" spans="2:3" x14ac:dyDescent="0.25">
      <c r="B194" s="9">
        <v>40820</v>
      </c>
      <c r="C194" s="6">
        <v>2.77</v>
      </c>
    </row>
    <row r="195" spans="2:3" x14ac:dyDescent="0.25">
      <c r="B195" s="9">
        <v>40821</v>
      </c>
      <c r="C195" s="6">
        <v>2.87</v>
      </c>
    </row>
    <row r="196" spans="2:3" x14ac:dyDescent="0.25">
      <c r="B196" s="9">
        <v>40822</v>
      </c>
      <c r="C196" s="6">
        <v>2.96</v>
      </c>
    </row>
    <row r="197" spans="2:3" x14ac:dyDescent="0.25">
      <c r="B197" s="9">
        <v>40823</v>
      </c>
      <c r="C197" s="6">
        <v>3.02</v>
      </c>
    </row>
    <row r="198" spans="2:3" x14ac:dyDescent="0.25">
      <c r="B198" s="9">
        <v>40827</v>
      </c>
      <c r="C198" s="6">
        <v>3.11</v>
      </c>
    </row>
    <row r="199" spans="2:3" x14ac:dyDescent="0.25">
      <c r="B199" s="9">
        <v>40828</v>
      </c>
      <c r="C199" s="6">
        <v>3.19</v>
      </c>
    </row>
    <row r="200" spans="2:3" x14ac:dyDescent="0.25">
      <c r="B200" s="9">
        <v>40829</v>
      </c>
      <c r="C200" s="6">
        <v>3.15</v>
      </c>
    </row>
    <row r="201" spans="2:3" x14ac:dyDescent="0.25">
      <c r="B201" s="9">
        <v>40830</v>
      </c>
      <c r="C201" s="6">
        <v>3.22</v>
      </c>
    </row>
    <row r="202" spans="2:3" x14ac:dyDescent="0.25">
      <c r="B202" s="9">
        <v>40833</v>
      </c>
      <c r="C202" s="6">
        <v>3.13</v>
      </c>
    </row>
    <row r="203" spans="2:3" x14ac:dyDescent="0.25">
      <c r="B203" s="9">
        <v>40834</v>
      </c>
      <c r="C203" s="6">
        <v>3.17</v>
      </c>
    </row>
    <row r="204" spans="2:3" x14ac:dyDescent="0.25">
      <c r="B204" s="9">
        <v>40835</v>
      </c>
      <c r="C204" s="6">
        <v>3.17</v>
      </c>
    </row>
    <row r="205" spans="2:3" x14ac:dyDescent="0.25">
      <c r="B205" s="9">
        <v>40836</v>
      </c>
      <c r="C205" s="6">
        <v>3.19</v>
      </c>
    </row>
    <row r="206" spans="2:3" x14ac:dyDescent="0.25">
      <c r="B206" s="9">
        <v>40837</v>
      </c>
      <c r="C206" s="6">
        <v>3.26</v>
      </c>
    </row>
    <row r="207" spans="2:3" x14ac:dyDescent="0.25">
      <c r="B207" s="9">
        <v>40840</v>
      </c>
      <c r="C207" s="6">
        <v>3.27</v>
      </c>
    </row>
    <row r="208" spans="2:3" x14ac:dyDescent="0.25">
      <c r="B208" s="9">
        <v>40841</v>
      </c>
      <c r="C208" s="6">
        <v>3.13</v>
      </c>
    </row>
    <row r="209" spans="2:3" x14ac:dyDescent="0.25">
      <c r="B209" s="9">
        <v>40842</v>
      </c>
      <c r="C209" s="6">
        <v>3.22</v>
      </c>
    </row>
    <row r="210" spans="2:3" x14ac:dyDescent="0.25">
      <c r="B210" s="9">
        <v>40843</v>
      </c>
      <c r="C210" s="6">
        <v>3.45</v>
      </c>
    </row>
    <row r="211" spans="2:3" x14ac:dyDescent="0.25">
      <c r="B211" s="9">
        <v>40844</v>
      </c>
      <c r="C211" s="6">
        <v>3.36</v>
      </c>
    </row>
    <row r="212" spans="2:3" x14ac:dyDescent="0.25">
      <c r="B212" s="9">
        <v>40847</v>
      </c>
      <c r="C212" s="6">
        <v>3.16</v>
      </c>
    </row>
    <row r="213" spans="2:3" x14ac:dyDescent="0.25">
      <c r="B213" s="9">
        <v>40848</v>
      </c>
      <c r="C213" s="6">
        <v>2.99</v>
      </c>
    </row>
    <row r="214" spans="2:3" x14ac:dyDescent="0.25">
      <c r="B214" s="9">
        <v>40849</v>
      </c>
      <c r="C214" s="6">
        <v>3.03</v>
      </c>
    </row>
    <row r="215" spans="2:3" x14ac:dyDescent="0.25">
      <c r="B215" s="9">
        <v>40850</v>
      </c>
      <c r="C215" s="6">
        <v>3.1</v>
      </c>
    </row>
    <row r="216" spans="2:3" x14ac:dyDescent="0.25">
      <c r="B216" s="9">
        <v>40851</v>
      </c>
      <c r="C216" s="6">
        <v>3.09</v>
      </c>
    </row>
    <row r="217" spans="2:3" x14ac:dyDescent="0.25">
      <c r="B217" s="9">
        <v>40854</v>
      </c>
      <c r="C217" s="6">
        <v>3.05</v>
      </c>
    </row>
    <row r="218" spans="2:3" x14ac:dyDescent="0.25">
      <c r="B218" s="9">
        <v>40855</v>
      </c>
      <c r="C218" s="6">
        <v>3.13</v>
      </c>
    </row>
    <row r="219" spans="2:3" x14ac:dyDescent="0.25">
      <c r="B219" s="9">
        <v>40856</v>
      </c>
      <c r="C219" s="6">
        <v>3.03</v>
      </c>
    </row>
    <row r="220" spans="2:3" x14ac:dyDescent="0.25">
      <c r="B220" s="9">
        <v>40857</v>
      </c>
      <c r="C220" s="6">
        <v>3.12</v>
      </c>
    </row>
    <row r="221" spans="2:3" x14ac:dyDescent="0.25">
      <c r="B221" s="9">
        <v>40861</v>
      </c>
      <c r="C221" s="6">
        <v>3.09</v>
      </c>
    </row>
    <row r="222" spans="2:3" x14ac:dyDescent="0.25">
      <c r="B222" s="9">
        <v>40862</v>
      </c>
      <c r="C222" s="6">
        <v>3.1</v>
      </c>
    </row>
    <row r="223" spans="2:3" x14ac:dyDescent="0.25">
      <c r="B223" s="9">
        <v>40863</v>
      </c>
      <c r="C223" s="6">
        <v>3.05</v>
      </c>
    </row>
    <row r="224" spans="2:3" x14ac:dyDescent="0.25">
      <c r="B224" s="9">
        <v>40864</v>
      </c>
      <c r="C224" s="6">
        <v>2.98</v>
      </c>
    </row>
    <row r="225" spans="2:3" x14ac:dyDescent="0.25">
      <c r="B225" s="9">
        <v>40865</v>
      </c>
      <c r="C225" s="6">
        <v>2.99</v>
      </c>
    </row>
    <row r="226" spans="2:3" x14ac:dyDescent="0.25">
      <c r="B226" s="9">
        <v>40868</v>
      </c>
      <c r="C226" s="6">
        <v>2.96</v>
      </c>
    </row>
    <row r="227" spans="2:3" x14ac:dyDescent="0.25">
      <c r="B227" s="9">
        <v>40869</v>
      </c>
      <c r="C227" s="6">
        <v>2.91</v>
      </c>
    </row>
    <row r="228" spans="2:3" x14ac:dyDescent="0.25">
      <c r="B228" s="9">
        <v>40870</v>
      </c>
      <c r="C228" s="6">
        <v>2.82</v>
      </c>
    </row>
    <row r="229" spans="2:3" x14ac:dyDescent="0.25">
      <c r="B229" s="9">
        <v>40872</v>
      </c>
      <c r="C229" s="6">
        <v>2.92</v>
      </c>
    </row>
    <row r="230" spans="2:3" x14ac:dyDescent="0.25">
      <c r="B230" s="9">
        <v>40875</v>
      </c>
      <c r="C230" s="6">
        <v>2.93</v>
      </c>
    </row>
    <row r="231" spans="2:3" x14ac:dyDescent="0.25">
      <c r="B231" s="9">
        <v>40876</v>
      </c>
      <c r="C231" s="6">
        <v>2.96</v>
      </c>
    </row>
    <row r="232" spans="2:3" x14ac:dyDescent="0.25">
      <c r="B232" s="9">
        <v>40877</v>
      </c>
      <c r="C232" s="6">
        <v>3.06</v>
      </c>
    </row>
    <row r="233" spans="2:3" x14ac:dyDescent="0.25">
      <c r="B233" s="9">
        <v>40878</v>
      </c>
      <c r="C233" s="6">
        <v>3.12</v>
      </c>
    </row>
    <row r="234" spans="2:3" x14ac:dyDescent="0.25">
      <c r="B234" s="9">
        <v>40879</v>
      </c>
      <c r="C234" s="6">
        <v>3.03</v>
      </c>
    </row>
    <row r="235" spans="2:3" x14ac:dyDescent="0.25">
      <c r="B235" s="9">
        <v>40882</v>
      </c>
      <c r="C235" s="6">
        <v>3.02</v>
      </c>
    </row>
    <row r="236" spans="2:3" x14ac:dyDescent="0.25">
      <c r="B236" s="9">
        <v>40883</v>
      </c>
      <c r="C236" s="6">
        <v>3.09</v>
      </c>
    </row>
    <row r="237" spans="2:3" x14ac:dyDescent="0.25">
      <c r="B237" s="9">
        <v>40884</v>
      </c>
      <c r="C237" s="6">
        <v>3.04</v>
      </c>
    </row>
    <row r="238" spans="2:3" x14ac:dyDescent="0.25">
      <c r="B238" s="9">
        <v>40885</v>
      </c>
      <c r="C238" s="6">
        <v>3</v>
      </c>
    </row>
    <row r="239" spans="2:3" x14ac:dyDescent="0.25">
      <c r="B239" s="9">
        <v>40886</v>
      </c>
      <c r="C239" s="6">
        <v>3.1</v>
      </c>
    </row>
    <row r="240" spans="2:3" x14ac:dyDescent="0.25">
      <c r="B240" s="9">
        <v>40889</v>
      </c>
      <c r="C240" s="6">
        <v>3.06</v>
      </c>
    </row>
    <row r="241" spans="2:3" x14ac:dyDescent="0.25">
      <c r="B241" s="9">
        <v>40890</v>
      </c>
      <c r="C241" s="6">
        <v>2.98</v>
      </c>
    </row>
    <row r="242" spans="2:3" x14ac:dyDescent="0.25">
      <c r="B242" s="9">
        <v>40891</v>
      </c>
      <c r="C242" s="6">
        <v>2.91</v>
      </c>
    </row>
    <row r="243" spans="2:3" x14ac:dyDescent="0.25">
      <c r="B243" s="9">
        <v>40892</v>
      </c>
      <c r="C243" s="6">
        <v>2.92</v>
      </c>
    </row>
    <row r="244" spans="2:3" x14ac:dyDescent="0.25">
      <c r="B244" s="9">
        <v>40893</v>
      </c>
      <c r="C244" s="6">
        <v>2.86</v>
      </c>
    </row>
    <row r="245" spans="2:3" x14ac:dyDescent="0.25">
      <c r="B245" s="9">
        <v>40896</v>
      </c>
      <c r="C245" s="6">
        <v>2.79</v>
      </c>
    </row>
    <row r="246" spans="2:3" x14ac:dyDescent="0.25">
      <c r="B246" s="9">
        <v>40897</v>
      </c>
      <c r="C246" s="6">
        <v>2.93</v>
      </c>
    </row>
    <row r="247" spans="2:3" x14ac:dyDescent="0.25">
      <c r="B247" s="9">
        <v>40898</v>
      </c>
      <c r="C247" s="6">
        <v>3</v>
      </c>
    </row>
    <row r="248" spans="2:3" x14ac:dyDescent="0.25">
      <c r="B248" s="9">
        <v>40899</v>
      </c>
      <c r="C248" s="6">
        <v>2.99</v>
      </c>
    </row>
    <row r="249" spans="2:3" x14ac:dyDescent="0.25">
      <c r="B249" s="9">
        <v>40900</v>
      </c>
      <c r="C249" s="6">
        <v>3.05</v>
      </c>
    </row>
    <row r="250" spans="2:3" x14ac:dyDescent="0.25">
      <c r="B250" s="9">
        <v>40904</v>
      </c>
      <c r="C250" s="6">
        <v>3.04</v>
      </c>
    </row>
    <row r="251" spans="2:3" x14ac:dyDescent="0.25">
      <c r="B251" s="9">
        <v>40905</v>
      </c>
      <c r="C251" s="6">
        <v>2.91</v>
      </c>
    </row>
    <row r="252" spans="2:3" x14ac:dyDescent="0.25">
      <c r="B252" s="9">
        <v>40906</v>
      </c>
      <c r="C252" s="6">
        <v>2.9</v>
      </c>
    </row>
    <row r="253" spans="2:3" x14ac:dyDescent="0.25">
      <c r="B253" s="9">
        <v>40907</v>
      </c>
      <c r="C253" s="6">
        <v>2.89</v>
      </c>
    </row>
  </sheetData>
  <mergeCells count="6">
    <mergeCell ref="F14:R14"/>
    <mergeCell ref="B2:C2"/>
    <mergeCell ref="F2:K2"/>
    <mergeCell ref="F11:R11"/>
    <mergeCell ref="F12:R12"/>
    <mergeCell ref="F13:R13"/>
  </mergeCells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17"/>
  <sheetViews>
    <sheetView workbookViewId="0">
      <selection activeCell="D17" sqref="D17"/>
    </sheetView>
  </sheetViews>
  <sheetFormatPr baseColWidth="10" defaultRowHeight="15" x14ac:dyDescent="0.25"/>
  <sheetData>
    <row r="2" spans="2:4" x14ac:dyDescent="0.25">
      <c r="B2" s="18" t="s">
        <v>6</v>
      </c>
      <c r="C2" s="18" t="s">
        <v>32</v>
      </c>
      <c r="D2" s="18" t="s">
        <v>33</v>
      </c>
    </row>
    <row r="3" spans="2:4" x14ac:dyDescent="0.25">
      <c r="B3">
        <v>2006</v>
      </c>
      <c r="C3">
        <v>5.53</v>
      </c>
      <c r="D3">
        <f>C3*365</f>
        <v>2018.45</v>
      </c>
    </row>
    <row r="4" spans="2:4" x14ac:dyDescent="0.25">
      <c r="B4">
        <v>2007</v>
      </c>
      <c r="C4">
        <v>5.41</v>
      </c>
      <c r="D4">
        <f t="shared" ref="D4:D17" si="0">C4*365</f>
        <v>1974.65</v>
      </c>
    </row>
    <row r="5" spans="2:4" x14ac:dyDescent="0.25">
      <c r="B5">
        <v>2008</v>
      </c>
      <c r="C5">
        <v>4.5</v>
      </c>
      <c r="D5">
        <f t="shared" si="0"/>
        <v>1642.5</v>
      </c>
    </row>
    <row r="6" spans="2:4" x14ac:dyDescent="0.25">
      <c r="B6">
        <v>2009</v>
      </c>
      <c r="C6">
        <v>3.94</v>
      </c>
      <c r="D6">
        <f t="shared" si="0"/>
        <v>1438.1</v>
      </c>
    </row>
    <row r="7" spans="2:4" x14ac:dyDescent="0.25">
      <c r="B7">
        <v>2010</v>
      </c>
      <c r="C7">
        <v>3.54</v>
      </c>
      <c r="D7">
        <f t="shared" si="0"/>
        <v>1292.0999999999999</v>
      </c>
    </row>
    <row r="8" spans="2:4" x14ac:dyDescent="0.25">
      <c r="B8">
        <v>2011</v>
      </c>
      <c r="C8">
        <v>3.18</v>
      </c>
      <c r="D8">
        <f t="shared" si="0"/>
        <v>1160.7</v>
      </c>
    </row>
    <row r="9" spans="2:4" x14ac:dyDescent="0.25">
      <c r="B9">
        <v>2012</v>
      </c>
      <c r="C9">
        <v>2.76</v>
      </c>
      <c r="D9">
        <f t="shared" si="0"/>
        <v>1007.4</v>
      </c>
    </row>
    <row r="10" spans="2:4" x14ac:dyDescent="0.25">
      <c r="B10">
        <v>2013</v>
      </c>
      <c r="C10">
        <v>2.46</v>
      </c>
      <c r="D10">
        <f t="shared" si="0"/>
        <v>897.9</v>
      </c>
    </row>
    <row r="11" spans="2:4" x14ac:dyDescent="0.25">
      <c r="B11">
        <v>2014</v>
      </c>
      <c r="C11">
        <v>2.19</v>
      </c>
      <c r="D11">
        <f t="shared" si="0"/>
        <v>799.35</v>
      </c>
    </row>
    <row r="12" spans="2:4" x14ac:dyDescent="0.25">
      <c r="B12">
        <v>2015</v>
      </c>
      <c r="C12">
        <v>2.0499999999999998</v>
      </c>
      <c r="D12">
        <f t="shared" si="0"/>
        <v>748.24999999999989</v>
      </c>
    </row>
    <row r="13" spans="2:4" x14ac:dyDescent="0.25">
      <c r="B13">
        <v>2016</v>
      </c>
      <c r="C13">
        <v>2.0099999999999998</v>
      </c>
      <c r="D13">
        <f t="shared" si="0"/>
        <v>733.65</v>
      </c>
    </row>
    <row r="14" spans="2:4" x14ac:dyDescent="0.25">
      <c r="B14">
        <v>2017</v>
      </c>
      <c r="C14">
        <v>1.8</v>
      </c>
      <c r="D14">
        <f t="shared" si="0"/>
        <v>657</v>
      </c>
    </row>
    <row r="15" spans="2:4" x14ac:dyDescent="0.25">
      <c r="B15">
        <v>2018</v>
      </c>
      <c r="C15">
        <v>1.54</v>
      </c>
      <c r="D15">
        <f t="shared" si="0"/>
        <v>562.1</v>
      </c>
    </row>
    <row r="16" spans="2:4" x14ac:dyDescent="0.25">
      <c r="B16">
        <v>2019</v>
      </c>
      <c r="C16">
        <v>1.36</v>
      </c>
      <c r="D16">
        <f t="shared" si="0"/>
        <v>496.40000000000003</v>
      </c>
    </row>
    <row r="17" spans="2:4" x14ac:dyDescent="0.25">
      <c r="B17">
        <v>2020</v>
      </c>
      <c r="C17">
        <v>1.25</v>
      </c>
      <c r="D17">
        <f t="shared" si="0"/>
        <v>456.25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0"/>
  <sheetViews>
    <sheetView workbookViewId="0">
      <selection activeCell="E4" sqref="E4"/>
    </sheetView>
  </sheetViews>
  <sheetFormatPr baseColWidth="10" defaultRowHeight="15" x14ac:dyDescent="0.25"/>
  <cols>
    <col min="3" max="3" width="19.7109375" customWidth="1"/>
  </cols>
  <sheetData>
    <row r="2" spans="1:3" x14ac:dyDescent="0.25">
      <c r="A2" s="98"/>
      <c r="B2" s="119" t="s">
        <v>25</v>
      </c>
      <c r="C2" s="120"/>
    </row>
    <row r="3" spans="1:3" x14ac:dyDescent="0.25">
      <c r="A3" s="98"/>
      <c r="B3" s="26" t="s">
        <v>6</v>
      </c>
      <c r="C3" s="105" t="s">
        <v>24</v>
      </c>
    </row>
    <row r="4" spans="1:3" x14ac:dyDescent="0.25">
      <c r="B4">
        <v>2014</v>
      </c>
      <c r="C4">
        <v>14</v>
      </c>
    </row>
    <row r="5" spans="1:3" x14ac:dyDescent="0.25">
      <c r="B5">
        <v>2015</v>
      </c>
      <c r="C5">
        <v>15</v>
      </c>
    </row>
    <row r="6" spans="1:3" x14ac:dyDescent="0.25">
      <c r="B6">
        <v>2016</v>
      </c>
      <c r="C6">
        <v>15</v>
      </c>
    </row>
    <row r="7" spans="1:3" x14ac:dyDescent="0.25">
      <c r="B7">
        <v>2017</v>
      </c>
      <c r="C7">
        <v>15</v>
      </c>
    </row>
    <row r="8" spans="1:3" x14ac:dyDescent="0.25">
      <c r="B8">
        <v>2018</v>
      </c>
      <c r="C8">
        <v>16</v>
      </c>
    </row>
    <row r="9" spans="1:3" x14ac:dyDescent="0.25">
      <c r="B9">
        <v>2019</v>
      </c>
      <c r="C9">
        <v>17</v>
      </c>
    </row>
    <row r="10" spans="1:3" x14ac:dyDescent="0.25">
      <c r="B10">
        <v>2020</v>
      </c>
      <c r="C10">
        <v>18</v>
      </c>
    </row>
  </sheetData>
  <mergeCells count="1">
    <mergeCell ref="B2:C2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20"/>
  <sheetViews>
    <sheetView tabSelected="1" topLeftCell="G1" workbookViewId="0">
      <selection activeCell="G13" sqref="G13"/>
    </sheetView>
  </sheetViews>
  <sheetFormatPr baseColWidth="10" defaultRowHeight="15" x14ac:dyDescent="0.25"/>
  <cols>
    <col min="2" max="2" width="5" bestFit="1" customWidth="1"/>
    <col min="3" max="3" width="12.140625" bestFit="1" customWidth="1"/>
    <col min="4" max="4" width="11.140625" style="3" bestFit="1" customWidth="1"/>
    <col min="5" max="5" width="19.7109375" customWidth="1"/>
    <col min="6" max="6" width="17.5703125" style="2" customWidth="1"/>
    <col min="7" max="7" width="17.28515625" style="2" customWidth="1"/>
    <col min="8" max="8" width="17.5703125" style="2" customWidth="1"/>
    <col min="9" max="9" width="17" customWidth="1"/>
    <col min="10" max="10" width="16.7109375" customWidth="1"/>
    <col min="13" max="14" width="18.28515625" bestFit="1" customWidth="1"/>
    <col min="15" max="15" width="14.5703125" bestFit="1" customWidth="1"/>
    <col min="16" max="16" width="13.85546875" bestFit="1" customWidth="1"/>
  </cols>
  <sheetData>
    <row r="2" spans="1:19" x14ac:dyDescent="0.25">
      <c r="A2" s="98"/>
      <c r="B2" s="124" t="s">
        <v>35</v>
      </c>
      <c r="C2" s="124"/>
      <c r="D2" s="124"/>
      <c r="E2" s="124"/>
      <c r="F2" s="124"/>
      <c r="G2" s="124"/>
      <c r="H2" s="124"/>
      <c r="I2" s="124"/>
      <c r="J2" s="125"/>
    </row>
    <row r="3" spans="1:19" ht="30" x14ac:dyDescent="0.25">
      <c r="A3" s="98"/>
      <c r="B3" s="18" t="s">
        <v>6</v>
      </c>
      <c r="C3" s="18" t="s">
        <v>7</v>
      </c>
      <c r="D3" s="19" t="s">
        <v>8</v>
      </c>
      <c r="E3" s="20" t="s">
        <v>13</v>
      </c>
      <c r="F3" s="21" t="s">
        <v>9</v>
      </c>
      <c r="G3" s="20" t="s">
        <v>20</v>
      </c>
      <c r="H3" s="20" t="s">
        <v>11</v>
      </c>
      <c r="I3" s="20" t="s">
        <v>10</v>
      </c>
      <c r="J3" s="103" t="s">
        <v>12</v>
      </c>
    </row>
    <row r="4" spans="1:19" x14ac:dyDescent="0.25">
      <c r="B4">
        <v>2012</v>
      </c>
      <c r="C4" s="45">
        <v>5200000</v>
      </c>
      <c r="D4" s="45">
        <v>0</v>
      </c>
      <c r="E4" s="1">
        <v>0</v>
      </c>
      <c r="F4" s="4">
        <f>E4*$J$18*$J$19</f>
        <v>0</v>
      </c>
      <c r="G4" s="4">
        <v>0</v>
      </c>
      <c r="H4" s="4">
        <v>0</v>
      </c>
      <c r="I4" s="32">
        <f>F4-C4-D4</f>
        <v>-5200000</v>
      </c>
      <c r="J4" s="33">
        <f>H4+F4-C4-D4</f>
        <v>-5200000</v>
      </c>
    </row>
    <row r="5" spans="1:19" x14ac:dyDescent="0.25">
      <c r="B5">
        <v>2013</v>
      </c>
      <c r="C5" s="45">
        <v>2600000</v>
      </c>
      <c r="D5" s="45">
        <v>0</v>
      </c>
      <c r="E5" s="1">
        <v>0</v>
      </c>
      <c r="F5" s="4">
        <f t="shared" ref="F5:F12" si="0">E5*$J$18*$J$19</f>
        <v>0</v>
      </c>
      <c r="G5" s="4">
        <v>0</v>
      </c>
      <c r="H5" s="4">
        <v>0</v>
      </c>
      <c r="I5" s="32">
        <f t="shared" ref="I5:I12" si="1">F5-C5-D5</f>
        <v>-2600000</v>
      </c>
      <c r="J5" s="33">
        <f t="shared" ref="J5:J12" si="2">H5+F5-C5-D5</f>
        <v>-2600000</v>
      </c>
      <c r="N5" s="108"/>
      <c r="O5" s="124" t="s">
        <v>34</v>
      </c>
      <c r="P5" s="125"/>
    </row>
    <row r="6" spans="1:19" x14ac:dyDescent="0.25">
      <c r="B6">
        <v>2014</v>
      </c>
      <c r="C6" s="45">
        <v>0</v>
      </c>
      <c r="D6" s="45">
        <f>235000*10/12</f>
        <v>195833.33333333334</v>
      </c>
      <c r="E6" s="1">
        <f>(99%*'Previsiones gas recuperado'!D11)*10/12</f>
        <v>659.46375</v>
      </c>
      <c r="F6" s="4">
        <f t="shared" si="0"/>
        <v>1578756.2175</v>
      </c>
      <c r="G6" s="4">
        <v>43093.459891399223</v>
      </c>
      <c r="H6" s="4">
        <f>(G6*98%)*'Previsiones precio CERs'!C4*(1/'Análisis financiero'!$J$20)</f>
        <v>767846.33567314141</v>
      </c>
      <c r="I6" s="32">
        <f t="shared" si="1"/>
        <v>1382922.8841666668</v>
      </c>
      <c r="J6" s="33">
        <f t="shared" si="2"/>
        <v>2150769.2198398081</v>
      </c>
      <c r="M6" s="6"/>
      <c r="N6" s="6"/>
      <c r="O6" s="29" t="s">
        <v>45</v>
      </c>
      <c r="P6" s="104" t="s">
        <v>46</v>
      </c>
      <c r="Q6" s="7"/>
    </row>
    <row r="7" spans="1:19" x14ac:dyDescent="0.25">
      <c r="B7">
        <v>2015</v>
      </c>
      <c r="C7" s="45">
        <v>0</v>
      </c>
      <c r="D7" s="45">
        <v>235000</v>
      </c>
      <c r="E7" s="1">
        <f>(99%*'Previsiones gas recuperado'!D12)</f>
        <v>740.76749999999993</v>
      </c>
      <c r="F7" s="4">
        <f t="shared" si="0"/>
        <v>1773397.3949999998</v>
      </c>
      <c r="G7" s="4">
        <v>47041.102891708717</v>
      </c>
      <c r="H7" s="4">
        <f>(G7*98%)*'Previsiones precio CERs'!C5*(1/'Análisis financiero'!$J$20)</f>
        <v>898056.5207851911</v>
      </c>
      <c r="I7" s="32">
        <f t="shared" si="1"/>
        <v>1538397.3949999998</v>
      </c>
      <c r="J7" s="33">
        <f t="shared" si="2"/>
        <v>2436453.9157851906</v>
      </c>
      <c r="M7" s="122" t="s">
        <v>30</v>
      </c>
      <c r="N7" s="34" t="s">
        <v>39</v>
      </c>
      <c r="O7" s="35">
        <f>NPV('Tasas de retorno'!J4,'Análisis financiero'!I4:I12)/1000000</f>
        <v>-2.3991607624548132</v>
      </c>
      <c r="P7" s="36">
        <f>NPV('Tasas de retorno'!K4,'Análisis financiero'!I4:I12)/1000000</f>
        <v>-1.9774181452149964</v>
      </c>
      <c r="Q7" s="28"/>
    </row>
    <row r="8" spans="1:19" x14ac:dyDescent="0.25">
      <c r="B8">
        <v>2016</v>
      </c>
      <c r="C8" s="45">
        <v>0</v>
      </c>
      <c r="D8" s="45">
        <v>235000</v>
      </c>
      <c r="E8" s="1">
        <f>(99%*'Previsiones gas recuperado'!D13)</f>
        <v>726.31349999999998</v>
      </c>
      <c r="F8" s="4">
        <f t="shared" si="0"/>
        <v>1738794.5189999999</v>
      </c>
      <c r="G8" s="4">
        <v>45706.517469431485</v>
      </c>
      <c r="H8" s="4">
        <f>(G8*98%)*'Previsiones precio CERs'!C6*(1/'Análisis financiero'!$J$20)</f>
        <v>872578.09729286749</v>
      </c>
      <c r="I8" s="32">
        <f t="shared" si="1"/>
        <v>1503794.5189999999</v>
      </c>
      <c r="J8" s="33">
        <f t="shared" si="2"/>
        <v>2376372.6162928673</v>
      </c>
      <c r="M8" s="122"/>
      <c r="N8" s="37" t="s">
        <v>27</v>
      </c>
      <c r="O8" s="126">
        <f>IRR(I4:I12)</f>
        <v>2.4117843236984848E-2</v>
      </c>
      <c r="P8" s="127"/>
      <c r="S8" s="25"/>
    </row>
    <row r="9" spans="1:19" x14ac:dyDescent="0.25">
      <c r="B9">
        <v>2017</v>
      </c>
      <c r="C9" s="45">
        <v>0</v>
      </c>
      <c r="D9" s="45">
        <v>235000</v>
      </c>
      <c r="E9" s="1">
        <f>(99%*'Previsiones gas recuperado'!D14)</f>
        <v>650.42999999999995</v>
      </c>
      <c r="F9" s="4">
        <f t="shared" si="0"/>
        <v>1557129.42</v>
      </c>
      <c r="G9" s="4">
        <v>38699.944002475946</v>
      </c>
      <c r="H9" s="4">
        <f>(G9*98%)*'Previsiones precio CERs'!C7*(1/'Análisis financiero'!$J$20)</f>
        <v>738816.37395816692</v>
      </c>
      <c r="I9" s="32">
        <f t="shared" si="1"/>
        <v>1322129.42</v>
      </c>
      <c r="J9" s="33">
        <f t="shared" si="2"/>
        <v>2060945.7939581666</v>
      </c>
      <c r="M9" s="123" t="s">
        <v>31</v>
      </c>
      <c r="N9" s="38" t="s">
        <v>39</v>
      </c>
      <c r="O9" s="39">
        <f>NPV('Tasas de retorno'!J4,'Análisis financiero'!J4:J12)/1000000</f>
        <v>-7.6814873056462715E-2</v>
      </c>
      <c r="P9" s="40">
        <f>NPV('Tasas de retorno'!K4,'Análisis financiero'!J4:J12)/1000000</f>
        <v>0.7262993376710748</v>
      </c>
    </row>
    <row r="10" spans="1:19" x14ac:dyDescent="0.25">
      <c r="B10">
        <v>2018</v>
      </c>
      <c r="C10" s="45">
        <v>0</v>
      </c>
      <c r="D10" s="45">
        <v>235000</v>
      </c>
      <c r="E10" s="1">
        <f>(99%*'Previsiones gas recuperado'!D15)</f>
        <v>556.47900000000004</v>
      </c>
      <c r="F10" s="4">
        <f t="shared" si="0"/>
        <v>1332210.726</v>
      </c>
      <c r="G10" s="4">
        <v>30025.138757673871</v>
      </c>
      <c r="H10" s="4">
        <f>(G10*98%)*'Previsiones precio CERs'!C8*(1/'Análisis financiero'!$J$20)</f>
        <v>611420.3960085992</v>
      </c>
      <c r="I10" s="32">
        <f t="shared" si="1"/>
        <v>1097210.726</v>
      </c>
      <c r="J10" s="33">
        <f t="shared" si="2"/>
        <v>1708631.1220085993</v>
      </c>
      <c r="M10" s="123"/>
      <c r="N10" s="38" t="s">
        <v>27</v>
      </c>
      <c r="O10" s="128">
        <f>IRR(J4:J12,'Tasas de retorno'!J4)</f>
        <v>0.14466340831326785</v>
      </c>
      <c r="P10" s="129"/>
      <c r="Q10" s="28"/>
    </row>
    <row r="11" spans="1:19" x14ac:dyDescent="0.25">
      <c r="B11">
        <v>2019</v>
      </c>
      <c r="C11" s="45">
        <v>0</v>
      </c>
      <c r="D11" s="45">
        <v>235000</v>
      </c>
      <c r="E11" s="1">
        <f>(99%*'Previsiones gas recuperado'!D16)</f>
        <v>491.43600000000004</v>
      </c>
      <c r="F11" s="4">
        <f t="shared" si="0"/>
        <v>1176497.784</v>
      </c>
      <c r="G11" s="4">
        <v>24019.504357426275</v>
      </c>
      <c r="H11" s="4">
        <f>(G11*98%)*'Previsiones precio CERs'!C9*(1/'Análisis financiero'!$J$20)</f>
        <v>519694.21094828472</v>
      </c>
      <c r="I11" s="32">
        <f t="shared" si="1"/>
        <v>941497.78399999999</v>
      </c>
      <c r="J11" s="33">
        <f t="shared" si="2"/>
        <v>1461191.9949482847</v>
      </c>
      <c r="M11" s="7"/>
      <c r="O11" s="27"/>
    </row>
    <row r="12" spans="1:19" x14ac:dyDescent="0.25">
      <c r="B12">
        <v>2020</v>
      </c>
      <c r="C12" s="45">
        <v>0</v>
      </c>
      <c r="D12" s="45">
        <v>235000</v>
      </c>
      <c r="E12" s="1">
        <f>(99%*'Previsiones gas recuperado'!D17)</f>
        <v>451.6875</v>
      </c>
      <c r="F12" s="4">
        <f t="shared" si="0"/>
        <v>1081339.875</v>
      </c>
      <c r="G12" s="4">
        <v>20349.39444616386</v>
      </c>
      <c r="H12" s="4">
        <f>(G12*98%)*'Previsiones precio CERs'!C10*(1/'Análisis financiero'!$J$20)</f>
        <v>466185.66112645634</v>
      </c>
      <c r="I12" s="32">
        <f t="shared" si="1"/>
        <v>846339.875</v>
      </c>
      <c r="J12" s="33">
        <f t="shared" si="2"/>
        <v>1312525.5361264562</v>
      </c>
    </row>
    <row r="13" spans="1:19" x14ac:dyDescent="0.25">
      <c r="G13" s="1"/>
      <c r="H13" s="1"/>
    </row>
    <row r="16" spans="1:19" x14ac:dyDescent="0.25">
      <c r="S16" s="25"/>
    </row>
    <row r="17" spans="9:10" x14ac:dyDescent="0.25">
      <c r="I17" s="121" t="s">
        <v>21</v>
      </c>
      <c r="J17" s="121"/>
    </row>
    <row r="18" spans="9:10" ht="45" x14ac:dyDescent="0.25">
      <c r="I18" s="22" t="s">
        <v>22</v>
      </c>
      <c r="J18">
        <v>1.5</v>
      </c>
    </row>
    <row r="19" spans="9:10" ht="45" x14ac:dyDescent="0.25">
      <c r="I19" s="23" t="s">
        <v>23</v>
      </c>
      <c r="J19">
        <v>1596</v>
      </c>
    </row>
    <row r="20" spans="9:10" ht="30" x14ac:dyDescent="0.25">
      <c r="I20" s="24" t="s">
        <v>26</v>
      </c>
      <c r="J20" s="1">
        <v>0.77000077</v>
      </c>
    </row>
  </sheetData>
  <mergeCells count="7">
    <mergeCell ref="I17:J17"/>
    <mergeCell ref="M7:M8"/>
    <mergeCell ref="M9:M10"/>
    <mergeCell ref="B2:J2"/>
    <mergeCell ref="O8:P8"/>
    <mergeCell ref="O10:P10"/>
    <mergeCell ref="O5:P5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36"/>
  <sheetViews>
    <sheetView topLeftCell="H1" zoomScaleNormal="100" workbookViewId="0">
      <selection activeCell="J7" sqref="J7"/>
    </sheetView>
  </sheetViews>
  <sheetFormatPr baseColWidth="10" defaultRowHeight="15" x14ac:dyDescent="0.25"/>
  <cols>
    <col min="2" max="3" width="11.28515625" bestFit="1" customWidth="1"/>
    <col min="4" max="4" width="13.140625" bestFit="1" customWidth="1"/>
    <col min="5" max="5" width="11.28515625" bestFit="1" customWidth="1"/>
    <col min="6" max="6" width="12" bestFit="1" customWidth="1"/>
    <col min="7" max="8" width="13.140625" bestFit="1" customWidth="1"/>
    <col min="9" max="9" width="12" bestFit="1" customWidth="1"/>
    <col min="10" max="10" width="13" customWidth="1"/>
    <col min="11" max="11" width="18.85546875" customWidth="1"/>
    <col min="12" max="12" width="18.7109375" bestFit="1" customWidth="1"/>
    <col min="13" max="13" width="21.5703125" bestFit="1" customWidth="1"/>
    <col min="14" max="14" width="18.42578125" customWidth="1"/>
    <col min="15" max="15" width="9" bestFit="1" customWidth="1"/>
    <col min="16" max="16" width="21.5703125" bestFit="1" customWidth="1"/>
    <col min="17" max="17" width="17.140625" bestFit="1" customWidth="1"/>
    <col min="18" max="18" width="7.140625" bestFit="1" customWidth="1"/>
    <col min="19" max="19" width="18.7109375" bestFit="1" customWidth="1"/>
  </cols>
  <sheetData>
    <row r="2" spans="1:18" x14ac:dyDescent="0.25">
      <c r="A2" s="98"/>
      <c r="B2" s="124" t="s">
        <v>40</v>
      </c>
      <c r="C2" s="124"/>
      <c r="D2" s="124"/>
      <c r="E2" s="124"/>
      <c r="F2" s="124"/>
      <c r="G2" s="124"/>
    </row>
    <row r="3" spans="1:18" x14ac:dyDescent="0.25">
      <c r="A3" s="98"/>
      <c r="B3" s="137" t="s">
        <v>28</v>
      </c>
      <c r="C3" s="137"/>
      <c r="D3" s="138"/>
      <c r="E3" s="136" t="s">
        <v>29</v>
      </c>
      <c r="F3" s="133"/>
      <c r="G3" s="133"/>
    </row>
    <row r="4" spans="1:18" s="41" customFormat="1" x14ac:dyDescent="0.25">
      <c r="A4" s="99"/>
      <c r="B4" s="97" t="s">
        <v>37</v>
      </c>
      <c r="C4" s="43" t="s">
        <v>38</v>
      </c>
      <c r="D4" s="60" t="s">
        <v>48</v>
      </c>
      <c r="E4" s="42" t="s">
        <v>37</v>
      </c>
      <c r="F4" s="42" t="s">
        <v>38</v>
      </c>
      <c r="G4" s="42" t="s">
        <v>48</v>
      </c>
    </row>
    <row r="5" spans="1:18" x14ac:dyDescent="0.25">
      <c r="B5" s="1">
        <f>'Análisis financiero'!F4-('Análisis financiero'!D4+('Análisis financiero'!D4*'Análisis de Sensibilidad'!$N$11))-'Análisis financiero'!C4</f>
        <v>-5200000</v>
      </c>
      <c r="C5" s="1">
        <f>'Análisis financiero'!F4-'Análisis financiero'!D4-('Análisis financiero'!C4+('Análisis financiero'!C4*'Análisis de Sensibilidad'!$N$12))</f>
        <v>-3278080</v>
      </c>
      <c r="D5" s="1">
        <f>('Análisis financiero'!E4*('Análisis financiero'!$J$18+('Análisis financiero'!$J$18*'Análisis de Sensibilidad'!$N$13))*'Análisis financiero'!$J$19)-'Análisis financiero'!C4-'Análisis financiero'!D4</f>
        <v>-5200000</v>
      </c>
      <c r="E5" s="1">
        <f>'Análisis financiero'!F4-'Análisis financiero'!C4-('Análisis financiero'!D4+('Análisis financiero'!D4*'Análisis de Sensibilidad'!$Q$11))</f>
        <v>-5200000</v>
      </c>
      <c r="F5" s="1">
        <f>'Análisis financiero'!F4-'Análisis financiero'!D4-('Análisis financiero'!C4+('Análisis financiero'!C4*'Análisis de Sensibilidad'!$Q$12))</f>
        <v>-3677440</v>
      </c>
      <c r="G5" s="1">
        <f>('Análisis financiero'!E4*('Análisis financiero'!$J$18+('Análisis financiero'!$J$18*'Análisis de Sensibilidad'!$Q$13))*'Análisis financiero'!$J$19)-'Análisis financiero'!C4-'Análisis financiero'!D4</f>
        <v>-5200000</v>
      </c>
    </row>
    <row r="6" spans="1:18" x14ac:dyDescent="0.25">
      <c r="B6" s="1">
        <f>'Análisis financiero'!F5-('Análisis financiero'!D5+('Análisis financiero'!D5*'Análisis de Sensibilidad'!$N$11))-'Análisis financiero'!C5</f>
        <v>-2600000</v>
      </c>
      <c r="C6" s="1">
        <f>'Análisis financiero'!F5-'Análisis financiero'!D5-('Análisis financiero'!C5+('Análisis financiero'!C5*'Análisis de Sensibilidad'!$N$12))</f>
        <v>-1639040</v>
      </c>
      <c r="D6" s="1">
        <f>('Análisis financiero'!E5*('Análisis financiero'!$J$18+('Análisis financiero'!$J$18*'Análisis de Sensibilidad'!$N$13))*'Análisis financiero'!$J$19)-'Análisis financiero'!C5-'Análisis financiero'!D5</f>
        <v>-2600000</v>
      </c>
      <c r="E6" s="1">
        <f>'Análisis financiero'!F5-'Análisis financiero'!C5-('Análisis financiero'!D5+('Análisis financiero'!D5*'Análisis de Sensibilidad'!$Q$11))</f>
        <v>-2600000</v>
      </c>
      <c r="F6" s="1">
        <f>'Análisis financiero'!F5-'Análisis financiero'!D5-('Análisis financiero'!C5+('Análisis financiero'!C5*'Análisis de Sensibilidad'!$Q$12))</f>
        <v>-1838720</v>
      </c>
      <c r="G6" s="1">
        <f>('Análisis financiero'!E5*('Análisis financiero'!$J$18+('Análisis financiero'!$J$18*'Análisis de Sensibilidad'!$Q$13))*'Análisis financiero'!$J$19)-'Análisis financiero'!C5-'Análisis financiero'!D5</f>
        <v>-2600000</v>
      </c>
    </row>
    <row r="7" spans="1:18" x14ac:dyDescent="0.25">
      <c r="B7" s="1">
        <f>'Análisis financiero'!F6-('Análisis financiero'!D6+('Análisis financiero'!D6*'Análisis de Sensibilidad'!$N$11))-'Análisis financiero'!C6</f>
        <v>2037397.8841666668</v>
      </c>
      <c r="C7" s="1">
        <f>'Análisis financiero'!F6-'Análisis financiero'!D6-('Análisis financiero'!C6+('Análisis financiero'!C6*'Análisis de Sensibilidad'!$N$12))</f>
        <v>1382922.8841666668</v>
      </c>
      <c r="D7" s="1">
        <f>('Análisis financiero'!E6*('Análisis financiero'!$J$18+('Análisis financiero'!$J$18*'Análisis de Sensibilidad'!$N$13))*'Análisis financiero'!$J$19)-'Análisis financiero'!C6-'Análisis financiero'!D6</f>
        <v>2170248.6098339166</v>
      </c>
      <c r="E7" s="1">
        <f>'Análisis financiero'!F6-'Análisis financiero'!C6-('Análisis financiero'!D6+('Análisis financiero'!D6*'Análisis de Sensibilidad'!$Q$11))</f>
        <v>1839214.5508333333</v>
      </c>
      <c r="F7" s="1">
        <f>'Análisis financiero'!F6-'Análisis financiero'!D6-('Análisis financiero'!C6+('Análisis financiero'!C6*'Análisis de Sensibilidad'!$Q$12))</f>
        <v>1382922.8841666668</v>
      </c>
      <c r="G7" s="1">
        <f>('Análisis financiero'!E6*('Análisis financiero'!$J$18+('Análisis financiero'!$J$18*'Análisis de Sensibilidad'!$Q$13))*'Análisis financiero'!$J$19)-'Análisis financiero'!C6-'Análisis financiero'!D6</f>
        <v>1937539.943374417</v>
      </c>
    </row>
    <row r="8" spans="1:18" x14ac:dyDescent="0.25">
      <c r="B8" s="1">
        <f>'Análisis financiero'!F7-('Análisis financiero'!D7+('Análisis financiero'!D7*'Análisis de Sensibilidad'!$N$11))-'Análisis financiero'!C7</f>
        <v>2323767.3949999996</v>
      </c>
      <c r="C8" s="1">
        <f>'Análisis financiero'!F7-'Análisis financiero'!D7-('Análisis financiero'!C7+('Análisis financiero'!C7*'Análisis de Sensibilidad'!$N$12))</f>
        <v>1538397.3949999998</v>
      </c>
      <c r="D8" s="1">
        <f>('Análisis financiero'!E7*('Análisis financiero'!$J$18+('Análisis financiero'!$J$18*'Análisis de Sensibilidad'!$N$13))*'Análisis financiero'!$J$19)-'Análisis financiero'!C7-'Análisis financiero'!D7</f>
        <v>2422790.6758865002</v>
      </c>
      <c r="E8" s="1">
        <f>'Análisis financiero'!F7-'Análisis financiero'!C7-('Análisis financiero'!D7+('Análisis financiero'!D7*'Análisis de Sensibilidad'!$Q$11))</f>
        <v>2085947.3949999998</v>
      </c>
      <c r="F8" s="1">
        <f>'Análisis financiero'!F7-'Análisis financiero'!D7-('Análisis financiero'!C7+('Análisis financiero'!C7*'Análisis de Sensibilidad'!$Q$12))</f>
        <v>1538397.3949999998</v>
      </c>
      <c r="G8" s="1">
        <f>('Análisis financiero'!E7*('Análisis financiero'!$J$18+('Análisis financiero'!$J$18*'Análisis de Sensibilidad'!$Q$13))*'Análisis financiero'!$J$19)-'Análisis financiero'!C7-'Análisis financiero'!D7</f>
        <v>2161391.8998635001</v>
      </c>
      <c r="L8" s="98"/>
      <c r="M8" s="124" t="s">
        <v>51</v>
      </c>
      <c r="N8" s="124"/>
      <c r="O8" s="124"/>
      <c r="P8" s="124"/>
      <c r="Q8" s="124"/>
      <c r="R8" s="125"/>
    </row>
    <row r="9" spans="1:18" x14ac:dyDescent="0.25">
      <c r="B9" s="1">
        <f>'Análisis financiero'!F8-('Análisis financiero'!D8+('Análisis financiero'!D8*'Análisis de Sensibilidad'!$N$11))-'Análisis financiero'!C8</f>
        <v>2289164.5189999999</v>
      </c>
      <c r="C9" s="1">
        <f>'Análisis financiero'!F8-'Análisis financiero'!D8-('Análisis financiero'!C8+('Análisis financiero'!C8*'Análisis de Sensibilidad'!$N$12))</f>
        <v>1503794.5189999999</v>
      </c>
      <c r="D9" s="1">
        <f>('Análisis financiero'!E8*('Análisis financiero'!$J$18+('Análisis financiero'!$J$18*'Análisis de Sensibilidad'!$N$13))*'Análisis financiero'!$J$19)-'Análisis financiero'!C8-'Análisis financiero'!D8</f>
        <v>2370931.3456253</v>
      </c>
      <c r="E9" s="1">
        <f>'Análisis financiero'!F8-'Análisis financiero'!C8-('Análisis financiero'!D8+('Análisis financiero'!D8*'Análisis de Sensibilidad'!$Q$11))</f>
        <v>2051344.5189999999</v>
      </c>
      <c r="F9" s="1">
        <f>'Análisis financiero'!F8-'Análisis financiero'!D8-('Análisis financiero'!C8+('Análisis financiero'!C8*'Análisis de Sensibilidad'!$Q$12))</f>
        <v>1503794.5189999999</v>
      </c>
      <c r="G9" s="1">
        <f>('Análisis financiero'!E8*('Análisis financiero'!$J$18+('Análisis financiero'!$J$18*'Análisis de Sensibilidad'!$Q$13))*'Análisis financiero'!$J$19)-'Análisis financiero'!C8-'Análisis financiero'!D8</f>
        <v>2114633.0335247004</v>
      </c>
      <c r="L9" s="98"/>
      <c r="M9" s="133" t="s">
        <v>45</v>
      </c>
      <c r="N9" s="133"/>
      <c r="O9" s="135"/>
      <c r="P9" s="136" t="s">
        <v>46</v>
      </c>
      <c r="Q9" s="133"/>
      <c r="R9" s="134"/>
    </row>
    <row r="10" spans="1:18" x14ac:dyDescent="0.25">
      <c r="B10" s="1">
        <f>'Análisis financiero'!F9-('Análisis financiero'!D9+('Análisis financiero'!D9*'Análisis de Sensibilidad'!$N$11))-'Análisis financiero'!C9</f>
        <v>2107499.42</v>
      </c>
      <c r="C10" s="1">
        <f>'Análisis financiero'!F9-'Análisis financiero'!D9-('Análisis financiero'!C9+('Análisis financiero'!C9*'Análisis de Sensibilidad'!$N$12))</f>
        <v>1322129.42</v>
      </c>
      <c r="D10" s="1">
        <f>('Análisis financiero'!E9*('Análisis financiero'!$J$18+('Análisis financiero'!$J$18*'Análisis de Sensibilidad'!$N$13))*'Análisis financiero'!$J$19)-'Análisis financiero'!C9-'Análisis financiero'!D9</f>
        <v>2098669.8617539997</v>
      </c>
      <c r="E10" s="1">
        <f>'Análisis financiero'!F9-'Análisis financiero'!C9-('Análisis financiero'!D9+('Análisis financiero'!D9*'Análisis de Sensibilidad'!$Q$11))</f>
        <v>1869679.42</v>
      </c>
      <c r="F10" s="1">
        <f>'Análisis financiero'!F9-'Análisis financiero'!D9-('Análisis financiero'!C9+('Análisis financiero'!C9*'Análisis de Sensibilidad'!$Q$12))</f>
        <v>1322129.42</v>
      </c>
      <c r="G10" s="1">
        <f>('Análisis financiero'!E9*('Análisis financiero'!$J$18+('Análisis financiero'!$J$18*'Análisis de Sensibilidad'!$Q$13))*'Análisis financiero'!$J$19)-'Análisis financiero'!C9-'Análisis financiero'!D9</f>
        <v>1869148.9852459999</v>
      </c>
      <c r="L10" s="98"/>
      <c r="M10" s="46" t="s">
        <v>36</v>
      </c>
      <c r="N10" s="46" t="s">
        <v>43</v>
      </c>
      <c r="O10" s="59" t="s">
        <v>27</v>
      </c>
      <c r="P10" s="42" t="s">
        <v>36</v>
      </c>
      <c r="Q10" s="46" t="s">
        <v>43</v>
      </c>
      <c r="R10" s="102" t="s">
        <v>27</v>
      </c>
    </row>
    <row r="11" spans="1:18" x14ac:dyDescent="0.25">
      <c r="B11" s="1">
        <f>'Análisis financiero'!F10-('Análisis financiero'!D10+('Análisis financiero'!D10*'Análisis de Sensibilidad'!$N$11))-'Análisis financiero'!C10</f>
        <v>1882580.726</v>
      </c>
      <c r="C11" s="1">
        <f>'Análisis financiero'!F10-'Análisis financiero'!D10-('Análisis financiero'!C10+('Análisis financiero'!C10*'Análisis de Sensibilidad'!$N$12))</f>
        <v>1097210.726</v>
      </c>
      <c r="D11" s="1">
        <f>('Análisis financiero'!E10*('Análisis financiero'!$J$18+('Análisis financiero'!$J$18*'Análisis de Sensibilidad'!$N$13))*'Análisis financiero'!$J$19)-'Análisis financiero'!C10-'Análisis financiero'!D10</f>
        <v>1761584.2150562</v>
      </c>
      <c r="E11" s="1">
        <f>'Análisis financiero'!F10-'Análisis financiero'!C10-('Análisis financiero'!D10+('Análisis financiero'!D10*'Análisis de Sensibilidad'!$Q$11))</f>
        <v>1644760.726</v>
      </c>
      <c r="F11" s="1">
        <f>'Análisis financiero'!F10-'Análisis financiero'!D10-('Análisis financiero'!C10+('Análisis financiero'!C10*'Análisis de Sensibilidad'!$Q$12))</f>
        <v>1097210.726</v>
      </c>
      <c r="G11" s="1">
        <f>('Análisis financiero'!E10*('Análisis financiero'!$J$18+('Análisis financiero'!$J$18*'Análisis de Sensibilidad'!$Q$13))*'Análisis financiero'!$J$19)-'Análisis financiero'!C10-'Análisis financiero'!D10</f>
        <v>1565216.3540438002</v>
      </c>
      <c r="L11" s="130" t="s">
        <v>30</v>
      </c>
      <c r="M11" s="90" t="s">
        <v>37</v>
      </c>
      <c r="N11" s="50">
        <v>-3.3420000000000001</v>
      </c>
      <c r="O11" s="57">
        <f>IRR(B5:B13)</f>
        <v>0.14847984905917389</v>
      </c>
      <c r="P11" s="49" t="s">
        <v>37</v>
      </c>
      <c r="Q11" s="50">
        <v>-2.33</v>
      </c>
      <c r="R11" s="48">
        <f>IRR(E5:E13)</f>
        <v>0.11496028418720949</v>
      </c>
    </row>
    <row r="12" spans="1:18" x14ac:dyDescent="0.25">
      <c r="B12" s="1">
        <f>'Análisis financiero'!F11-('Análisis financiero'!D11+('Análisis financiero'!D11*'Análisis de Sensibilidad'!$N$11))-'Análisis financiero'!C11</f>
        <v>1726867.784</v>
      </c>
      <c r="C12" s="1">
        <f>'Análisis financiero'!F11-'Análisis financiero'!D11-('Análisis financiero'!C11+('Análisis financiero'!C11*'Análisis de Sensibilidad'!$N$12))</f>
        <v>941497.78399999999</v>
      </c>
      <c r="D12" s="1">
        <f>('Análisis financiero'!E11*('Análisis financiero'!$J$18+('Análisis financiero'!$J$18*'Análisis de Sensibilidad'!$N$13))*'Análisis financiero'!$J$19)-'Análisis financiero'!C11-'Análisis financiero'!D11</f>
        <v>1528217.2288808001</v>
      </c>
      <c r="E12" s="1">
        <f>'Análisis financiero'!F11-'Análisis financiero'!C11-('Análisis financiero'!D11+('Análisis financiero'!D11*'Análisis de Sensibilidad'!$Q$11))</f>
        <v>1489047.784</v>
      </c>
      <c r="F12" s="1">
        <f>'Análisis financiero'!F11-'Análisis financiero'!D11-('Análisis financiero'!C11+('Análisis financiero'!C11*'Análisis de Sensibilidad'!$Q$12))</f>
        <v>941497.78399999999</v>
      </c>
      <c r="G12" s="1">
        <f>('Análisis financiero'!E11*('Análisis financiero'!$J$18+('Análisis financiero'!$J$18*'Análisis de Sensibilidad'!$Q$13))*'Análisis financiero'!$J$19)-'Análisis financiero'!C11-'Análisis financiero'!D11</f>
        <v>1354801.4555192003</v>
      </c>
      <c r="L12" s="130"/>
      <c r="M12" s="91" t="s">
        <v>38</v>
      </c>
      <c r="N12" s="52">
        <v>-0.36959999999999998</v>
      </c>
      <c r="O12" s="57">
        <f>IRR(C5:C13)</f>
        <v>0.14846849284909558</v>
      </c>
      <c r="P12" s="51" t="s">
        <v>38</v>
      </c>
      <c r="Q12" s="52">
        <v>-0.2928</v>
      </c>
      <c r="R12" s="48">
        <f>IRR(F5:F13)</f>
        <v>0.11502664727363299</v>
      </c>
    </row>
    <row r="13" spans="1:18" s="62" customFormat="1" x14ac:dyDescent="0.25">
      <c r="B13" s="61">
        <f>'Análisis financiero'!F12-('Análisis financiero'!D12+('Análisis financiero'!D12*'Análisis de Sensibilidad'!$N$11))-'Análisis financiero'!C12</f>
        <v>1631709.875</v>
      </c>
      <c r="C13" s="61">
        <f>'Análisis financiero'!F12-'Análisis financiero'!D12-('Análisis financiero'!C12+('Análisis financiero'!C12*'Análisis de Sensibilidad'!$N$12))</f>
        <v>846339.875</v>
      </c>
      <c r="D13" s="61">
        <f>('Análisis financiero'!E12*('Análisis financiero'!$J$18+('Análisis financiero'!$J$18*'Análisis de Sensibilidad'!$N$13))*'Análisis financiero'!$J$19)-'Análisis financiero'!C12-'Análisis financiero'!D12</f>
        <v>1385604.0706625001</v>
      </c>
      <c r="E13" s="61">
        <f>'Análisis financiero'!F12-'Análisis financiero'!C12-('Análisis financiero'!D12+('Análisis financiero'!D12*'Análisis de Sensibilidad'!$Q$11))</f>
        <v>1393889.875</v>
      </c>
      <c r="F13" s="61">
        <f>'Análisis financiero'!F12-'Análisis financiero'!D12-('Análisis financiero'!C12+('Análisis financiero'!C12*'Análisis de Sensibilidad'!$Q$12))</f>
        <v>846339.875</v>
      </c>
      <c r="G13" s="61">
        <f>('Análisis financiero'!E12*('Análisis financiero'!$J$18+('Análisis financiero'!$J$18*'Análisis de Sensibilidad'!$Q$13))*'Análisis financiero'!$J$19)-'Análisis financiero'!C12-'Análisis financiero'!D12</f>
        <v>1226214.5730875002</v>
      </c>
      <c r="L13" s="130"/>
      <c r="M13" s="92" t="s">
        <v>41</v>
      </c>
      <c r="N13" s="53">
        <v>0.49869999999999998</v>
      </c>
      <c r="O13" s="58">
        <f>IRR(D5:D13)</f>
        <v>0.14845032207368103</v>
      </c>
      <c r="P13" s="63" t="s">
        <v>41</v>
      </c>
      <c r="Q13" s="53">
        <v>0.3513</v>
      </c>
      <c r="R13" s="88">
        <f>IRR(G5:G13)</f>
        <v>0.11495591212792977</v>
      </c>
    </row>
    <row r="14" spans="1:18" x14ac:dyDescent="0.25">
      <c r="L14" s="131" t="s">
        <v>31</v>
      </c>
      <c r="M14" s="93" t="s">
        <v>37</v>
      </c>
      <c r="N14" s="54">
        <v>-0.115</v>
      </c>
      <c r="O14" s="85">
        <f>IRR(B18:B26)</f>
        <v>0.14848139864216403</v>
      </c>
      <c r="P14" s="67" t="s">
        <v>37</v>
      </c>
      <c r="Q14" s="54">
        <v>0.85699999999999998</v>
      </c>
      <c r="R14" s="65">
        <f>IRR(F18:F26)</f>
        <v>0.11497203861609218</v>
      </c>
    </row>
    <row r="15" spans="1:18" x14ac:dyDescent="0.25">
      <c r="A15" s="98"/>
      <c r="B15" s="139" t="s">
        <v>42</v>
      </c>
      <c r="C15" s="139"/>
      <c r="D15" s="139"/>
      <c r="E15" s="139"/>
      <c r="F15" s="139"/>
      <c r="G15" s="139"/>
      <c r="H15" s="139"/>
      <c r="I15" s="140"/>
      <c r="L15" s="131"/>
      <c r="M15" s="94" t="s">
        <v>38</v>
      </c>
      <c r="N15" s="55">
        <v>-1.2699999999999999E-2</v>
      </c>
      <c r="O15" s="85">
        <f>IRR(C18:C26)</f>
        <v>0.14847567638171899</v>
      </c>
      <c r="P15" s="67" t="s">
        <v>38</v>
      </c>
      <c r="Q15" s="55">
        <v>0.1077</v>
      </c>
      <c r="R15" s="65">
        <f>IRR(G18:G26)</f>
        <v>0.11495391328699522</v>
      </c>
    </row>
    <row r="16" spans="1:18" x14ac:dyDescent="0.25">
      <c r="A16" s="98"/>
      <c r="B16" s="133" t="s">
        <v>28</v>
      </c>
      <c r="C16" s="133"/>
      <c r="D16" s="133"/>
      <c r="E16" s="135"/>
      <c r="F16" s="133" t="s">
        <v>29</v>
      </c>
      <c r="G16" s="133"/>
      <c r="H16" s="133"/>
      <c r="I16" s="134"/>
      <c r="K16" s="44"/>
      <c r="L16" s="131"/>
      <c r="M16" s="95" t="s">
        <v>41</v>
      </c>
      <c r="N16" s="56">
        <v>1.7399999999999999E-2</v>
      </c>
      <c r="O16" s="86">
        <f>IRR(D18:D26)</f>
        <v>0.14853344600354479</v>
      </c>
      <c r="P16" s="67" t="s">
        <v>41</v>
      </c>
      <c r="Q16" s="55">
        <v>-0.129</v>
      </c>
      <c r="R16" s="65">
        <f>IRR(H18:H26)</f>
        <v>0.11502374579163832</v>
      </c>
    </row>
    <row r="17" spans="1:20" s="62" customFormat="1" x14ac:dyDescent="0.25">
      <c r="A17" s="100"/>
      <c r="B17" s="43" t="s">
        <v>50</v>
      </c>
      <c r="C17" s="43" t="s">
        <v>38</v>
      </c>
      <c r="D17" s="43" t="s">
        <v>48</v>
      </c>
      <c r="E17" s="60" t="s">
        <v>44</v>
      </c>
      <c r="F17" s="47" t="s">
        <v>37</v>
      </c>
      <c r="G17" s="43" t="s">
        <v>47</v>
      </c>
      <c r="H17" s="43" t="s">
        <v>48</v>
      </c>
      <c r="I17" s="101" t="s">
        <v>49</v>
      </c>
      <c r="L17" s="131"/>
      <c r="M17" s="96" t="s">
        <v>44</v>
      </c>
      <c r="N17" s="64">
        <v>3.5999999999999997E-2</v>
      </c>
      <c r="O17" s="87">
        <f>IRR(E18:E26)</f>
        <v>0.14852023431562134</v>
      </c>
      <c r="P17" s="66" t="s">
        <v>44</v>
      </c>
      <c r="Q17" s="64">
        <v>-0.26900000000000002</v>
      </c>
      <c r="R17" s="89">
        <f>IRR(I18:I26)</f>
        <v>0.11495798436320914</v>
      </c>
    </row>
    <row r="18" spans="1:20" x14ac:dyDescent="0.25">
      <c r="B18" s="1">
        <f>('Análisis financiero'!F4+'Análisis financiero'!H4)-('Análisis financiero'!C4+('Análisis financiero'!D4+('Análisis financiero'!D4*'Análisis de Sensibilidad'!$N$14)))</f>
        <v>-5200000</v>
      </c>
      <c r="C18" s="1">
        <f>('Análisis financiero'!F4+'Análisis financiero'!H4)-('Análisis financiero'!D4+('Análisis financiero'!C4+('Análisis financiero'!C4*'Análisis de Sensibilidad'!$N$15)))</f>
        <v>-5133960</v>
      </c>
      <c r="D18" s="1">
        <f>('Análisis financiero'!H4+('Análisis financiero'!E4*('Análisis financiero'!$J$18+('Análisis financiero'!$J$18*'Análisis de Sensibilidad'!$N$16))*'Análisis financiero'!$J$19))-'Análisis financiero'!C4-'Análisis financiero'!D4</f>
        <v>-5200000</v>
      </c>
      <c r="E18" s="1">
        <v>-5200000</v>
      </c>
      <c r="F18">
        <f>('Análisis financiero'!F4+'Análisis financiero'!H4)-('Análisis financiero'!C4+('Análisis financiero'!D4+('Análisis financiero'!D4*$Q$14)))</f>
        <v>-5200000</v>
      </c>
      <c r="G18">
        <f>('Análisis financiero'!F4+'Análisis financiero'!H4)-('Análisis financiero'!D4+('Análisis financiero'!C4+('Análisis financiero'!C4*$Q$15)))</f>
        <v>-5760040</v>
      </c>
      <c r="H18">
        <f>('Análisis financiero'!H4+('Análisis financiero'!E4*('Análisis financiero'!$J$18+('Análisis financiero'!$J$18*$Q$16))*'Análisis financiero'!$J$19))-'Análisis financiero'!C4-'Análisis financiero'!D4</f>
        <v>-5200000</v>
      </c>
      <c r="I18">
        <v>-5200000</v>
      </c>
      <c r="N18" s="68"/>
      <c r="O18" s="69"/>
    </row>
    <row r="19" spans="1:20" x14ac:dyDescent="0.25">
      <c r="B19" s="1">
        <f>('Análisis financiero'!F5+'Análisis financiero'!H5)-('Análisis financiero'!C5+('Análisis financiero'!D5+('Análisis financiero'!D5*'Análisis de Sensibilidad'!$N$14)))</f>
        <v>-2600000</v>
      </c>
      <c r="C19" s="1">
        <f>('Análisis financiero'!F5+'Análisis financiero'!H5)-('Análisis financiero'!D5+('Análisis financiero'!C5+('Análisis financiero'!C5*'Análisis de Sensibilidad'!$N$15)))</f>
        <v>-2566980</v>
      </c>
      <c r="D19" s="1">
        <f>('Análisis financiero'!H5+('Análisis financiero'!E5*('Análisis financiero'!$J$18+('Análisis financiero'!$J$18*'Análisis de Sensibilidad'!$N$16))*'Análisis financiero'!$J$19))-'Análisis financiero'!C5-'Análisis financiero'!D5</f>
        <v>-2600000</v>
      </c>
      <c r="E19" s="1">
        <v>-2600000</v>
      </c>
      <c r="F19">
        <f>('Análisis financiero'!F5+'Análisis financiero'!H5)-('Análisis financiero'!C5+('Análisis financiero'!D5+('Análisis financiero'!D5*$Q$14)))</f>
        <v>-2600000</v>
      </c>
      <c r="G19">
        <f>('Análisis financiero'!F5+'Análisis financiero'!H5)-('Análisis financiero'!D5+('Análisis financiero'!C5+('Análisis financiero'!C5*$Q$15)))</f>
        <v>-2880020</v>
      </c>
      <c r="H19">
        <f>('Análisis financiero'!H5+('Análisis financiero'!E5*('Análisis financiero'!$J$18+('Análisis financiero'!$J$18*$Q$16))*'Análisis financiero'!$J$19))-'Análisis financiero'!C5-'Análisis financiero'!D5</f>
        <v>-2600000</v>
      </c>
      <c r="I19">
        <v>-2600000</v>
      </c>
      <c r="N19" s="7"/>
      <c r="O19" s="1"/>
    </row>
    <row r="20" spans="1:20" ht="15" customHeight="1" x14ac:dyDescent="0.25">
      <c r="B20" s="1">
        <f>('Análisis financiero'!F6+'Análisis financiero'!H6)-('Análisis financiero'!C6+('Análisis financiero'!D6+('Análisis financiero'!D6*'Análisis de Sensibilidad'!$N$14)))</f>
        <v>2173290.0531731416</v>
      </c>
      <c r="C20" s="1">
        <f>('Análisis financiero'!F6+'Análisis financiero'!H6)-('Análisis financiero'!D6+('Análisis financiero'!C6+('Análisis financiero'!C6*'Análisis de Sensibilidad'!$N$15)))</f>
        <v>2150769.2198398081</v>
      </c>
      <c r="D20" s="1">
        <f>('Análisis financiero'!H6+('Análisis financiero'!E6*('Análisis financiero'!$J$18+('Análisis financiero'!$J$18*'Análisis de Sensibilidad'!$N$16))*'Análisis financiero'!$J$19))-'Análisis financiero'!C6-'Análisis financiero'!D6</f>
        <v>2178239.5780243077</v>
      </c>
      <c r="E20" s="1">
        <f>('Análisis financiero'!F6+('Análisis financiero'!G6*98%)*('Previsiones precio CERs'!C4+('Previsiones precio CERs'!C4*'Análisis de Sensibilidad'!$N$17))*(1/'Análisis financiero'!$J$20))-'Análisis financiero'!D6-'Análisis financiero'!C6</f>
        <v>2178411.6879240409</v>
      </c>
      <c r="F20">
        <f>('Análisis financiero'!F6+'Análisis financiero'!H6)-('Análisis financiero'!C6+('Análisis financiero'!D6+('Análisis financiero'!D6*$Q$14)))</f>
        <v>1982940.0531731416</v>
      </c>
      <c r="G20">
        <f>('Análisis financiero'!F6+'Análisis financiero'!H6)-('Análisis financiero'!D6+('Análisis financiero'!C6+('Análisis financiero'!C6*$Q$15)))</f>
        <v>2150769.2198398081</v>
      </c>
      <c r="H20">
        <f>('Análisis financiero'!H6+('Análisis financiero'!E6*('Análisis financiero'!$J$18+('Análisis financiero'!$J$18*$Q$16))*'Análisis financiero'!$J$19))-'Análisis financiero'!C6-'Análisis financiero'!D6</f>
        <v>1947109.6677823083</v>
      </c>
      <c r="I20">
        <f>('Análisis financiero'!F6+('Análisis financiero'!G6*98%)*('Previsiones precio CERs'!C4+('Previsiones precio CERs'!C4*$Q$17))*(1/'Análisis financiero'!$J$20))-'Análisis financiero'!D6-'Análisis financiero'!C6</f>
        <v>1944218.5555437331</v>
      </c>
      <c r="O20" s="83"/>
      <c r="P20" s="83"/>
      <c r="Q20" s="83"/>
      <c r="R20" s="83"/>
      <c r="S20" s="70"/>
    </row>
    <row r="21" spans="1:20" x14ac:dyDescent="0.25">
      <c r="B21" s="1">
        <f>('Análisis financiero'!F7+'Análisis financiero'!H7)-('Análisis financiero'!C7+('Análisis financiero'!D7+('Análisis financiero'!D7*'Análisis de Sensibilidad'!$N$14)))</f>
        <v>2463478.9157851906</v>
      </c>
      <c r="C21" s="1">
        <f>('Análisis financiero'!F7+'Análisis financiero'!H7)-('Análisis financiero'!D7+('Análisis financiero'!C7+('Análisis financiero'!C7*'Análisis de Sensibilidad'!$N$15)))</f>
        <v>2436453.9157851906</v>
      </c>
      <c r="D21" s="1">
        <f>('Análisis financiero'!H7+('Análisis financiero'!E7*('Análisis financiero'!$J$18+('Análisis financiero'!$J$18*'Análisis de Sensibilidad'!$N$16))*'Análisis financiero'!$J$19))-'Análisis financiero'!C7-'Análisis financiero'!D7</f>
        <v>2467311.0304581905</v>
      </c>
      <c r="E21" s="1">
        <f>('Análisis financiero'!F7+('Análisis financiero'!G7*98%)*('Previsiones precio CERs'!C5+('Previsiones precio CERs'!C5*'Análisis de Sensibilidad'!$N$17))*(1/'Análisis financiero'!$J$20))-'Análisis financiero'!D7-'Análisis financiero'!C7</f>
        <v>2468783.9505334576</v>
      </c>
      <c r="F21">
        <f>('Análisis financiero'!F7+'Análisis financiero'!H7)-('Análisis financiero'!C7+('Análisis financiero'!D7+('Análisis financiero'!D7*$Q$14)))</f>
        <v>2235058.9157851906</v>
      </c>
      <c r="G21">
        <f>('Análisis financiero'!F7+'Análisis financiero'!H7)-('Análisis financiero'!D7+('Análisis financiero'!C7+('Análisis financiero'!C7*$Q$15)))</f>
        <v>2436453.9157851906</v>
      </c>
      <c r="H21">
        <f>('Análisis financiero'!H7+('Análisis financiero'!E7*('Análisis financiero'!$J$18+('Análisis financiero'!$J$18*$Q$16))*'Análisis financiero'!$J$19))-'Análisis financiero'!C7-'Análisis financiero'!D7</f>
        <v>2207685.6518301908</v>
      </c>
      <c r="I21">
        <f>('Análisis financiero'!F7+('Análisis financiero'!G7*98%)*('Previsiones precio CERs'!C5+('Previsiones precio CERs'!C5*$Q$17))*(1/'Análisis financiero'!$J$20))-'Análisis financiero'!D7-'Análisis financiero'!C7</f>
        <v>2194876.7116939742</v>
      </c>
      <c r="O21" s="1"/>
      <c r="P21" s="132"/>
      <c r="Q21" s="132"/>
      <c r="R21" s="132"/>
      <c r="S21" s="72"/>
    </row>
    <row r="22" spans="1:20" x14ac:dyDescent="0.25">
      <c r="B22" s="1">
        <f>('Análisis financiero'!F8+'Análisis financiero'!H8)-('Análisis financiero'!C8+('Análisis financiero'!D8+('Análisis financiero'!D8*'Análisis de Sensibilidad'!$N$14)))</f>
        <v>2403397.6162928673</v>
      </c>
      <c r="C22" s="1">
        <f>('Análisis financiero'!F8+'Análisis financiero'!H8)-('Análisis financiero'!D8+('Análisis financiero'!C8+('Análisis financiero'!C8*'Análisis de Sensibilidad'!$N$15)))</f>
        <v>2376372.6162928673</v>
      </c>
      <c r="D22" s="1">
        <f>('Análisis financiero'!H8+('Análisis financiero'!E8*('Análisis financiero'!$J$18+('Análisis financiero'!$J$18*'Análisis de Sensibilidad'!$N$16))*'Análisis financiero'!$J$19))-'Análisis financiero'!C8-'Análisis financiero'!D8</f>
        <v>2406627.6409234675</v>
      </c>
      <c r="E22" s="1">
        <f>('Análisis financiero'!F8+('Análisis financiero'!G8*98%)*('Previsiones precio CERs'!C6+('Previsiones precio CERs'!C6*'Análisis de Sensibilidad'!$N$17))*(1/'Análisis financiero'!$J$20))-'Análisis financiero'!D8-'Análisis financiero'!C8</f>
        <v>2407785.4277954102</v>
      </c>
      <c r="F22">
        <f>('Análisis financiero'!F8+'Análisis financiero'!H8)-('Análisis financiero'!C8+('Análisis financiero'!D8+('Análisis financiero'!D8*$Q$14)))</f>
        <v>2174977.6162928673</v>
      </c>
      <c r="G22">
        <f>('Análisis financiero'!F8+'Análisis financiero'!H8)-('Análisis financiero'!D8+('Análisis financiero'!C8+('Análisis financiero'!C8*$Q$15)))</f>
        <v>2376372.6162928673</v>
      </c>
      <c r="H22">
        <f>('Análisis financiero'!H8+('Análisis financiero'!E8*('Análisis financiero'!$J$18+('Análisis financiero'!$J$18*$Q$16))*'Análisis financiero'!$J$19))-'Análisis financiero'!C8-'Análisis financiero'!D8</f>
        <v>2152068.1233418677</v>
      </c>
      <c r="I22">
        <f>('Análisis financiero'!F8+('Análisis financiero'!G8*98%)*('Previsiones precio CERs'!C6+('Previsiones precio CERs'!C6*$Q$17))*(1/'Análisis financiero'!$J$20))-'Análisis financiero'!D8-'Análisis financiero'!C8</f>
        <v>2141649.1081210859</v>
      </c>
      <c r="O22" s="71"/>
      <c r="P22" s="79"/>
      <c r="Q22" s="80"/>
      <c r="R22" s="79"/>
      <c r="S22" s="73"/>
    </row>
    <row r="23" spans="1:20" x14ac:dyDescent="0.25">
      <c r="B23" s="1">
        <f>('Análisis financiero'!F9+'Análisis financiero'!H9)-('Análisis financiero'!C9+('Análisis financiero'!D9+('Análisis financiero'!D9*'Análisis de Sensibilidad'!$N$14)))</f>
        <v>2087970.7939581666</v>
      </c>
      <c r="C23" s="1">
        <f>('Análisis financiero'!F9+'Análisis financiero'!H9)-('Análisis financiero'!D9+('Análisis financiero'!C9+('Análisis financiero'!C9*'Análisis de Sensibilidad'!$N$15)))</f>
        <v>2060945.7939581666</v>
      </c>
      <c r="D23" s="1">
        <f>('Análisis financiero'!H9+('Análisis financiero'!E9*('Análisis financiero'!$J$18+('Análisis financiero'!$J$18*'Análisis de Sensibilidad'!$N$16))*'Análisis financiero'!$J$19))-'Análisis financiero'!C9-'Análisis financiero'!D9</f>
        <v>2088039.845866167</v>
      </c>
      <c r="E23" s="1">
        <f>('Análisis financiero'!F9+('Análisis financiero'!G9*98%)*('Previsiones precio CERs'!C7+('Previsiones precio CERs'!C7*'Análisis de Sensibilidad'!$N$17))*(1/'Análisis financiero'!$J$20))-'Análisis financiero'!D9-'Análisis financiero'!C9</f>
        <v>2087543.1834206609</v>
      </c>
      <c r="F23">
        <f>('Análisis financiero'!F9+'Análisis financiero'!H9)-('Análisis financiero'!C9+('Análisis financiero'!D9+('Análisis financiero'!D9*$Q$14)))</f>
        <v>1859550.7939581666</v>
      </c>
      <c r="G23">
        <f>('Análisis financiero'!F9+'Análisis financiero'!H9)-('Análisis financiero'!D9+('Análisis financiero'!C9+('Análisis financiero'!C9*$Q$15)))</f>
        <v>2060945.7939581666</v>
      </c>
      <c r="H23">
        <f>('Análisis financiero'!H9+('Análisis financiero'!E9*('Análisis financiero'!$J$18+('Análisis financiero'!$J$18*$Q$16))*'Análisis financiero'!$J$19))-'Análisis financiero'!C9-'Análisis financiero'!D9</f>
        <v>1860076.0987781668</v>
      </c>
      <c r="I23">
        <f>('Análisis financiero'!F9+('Análisis financiero'!G9*98%)*('Previsiones precio CERs'!C7+('Previsiones precio CERs'!C7*$Q$17))*(1/'Análisis financiero'!$J$20))-'Análisis financiero'!D9-'Análisis financiero'!C9</f>
        <v>1862204.18936342</v>
      </c>
      <c r="O23" s="84"/>
      <c r="P23" s="81"/>
      <c r="S23" s="74"/>
      <c r="T23" s="76"/>
    </row>
    <row r="24" spans="1:20" x14ac:dyDescent="0.25">
      <c r="B24" s="1">
        <f>('Análisis financiero'!F10+'Análisis financiero'!H10)-('Análisis financiero'!C10+('Análisis financiero'!D10+('Análisis financiero'!D10*'Análisis de Sensibilidad'!$N$14)))</f>
        <v>1735656.1220085993</v>
      </c>
      <c r="C24" s="1">
        <f>('Análisis financiero'!F10+'Análisis financiero'!H10)-('Análisis financiero'!D10+('Análisis financiero'!C10+('Análisis financiero'!C10*'Análisis de Sensibilidad'!$N$15)))</f>
        <v>1708631.1220085993</v>
      </c>
      <c r="D24" s="1">
        <f>('Análisis financiero'!H10+('Análisis financiero'!E10*('Análisis financiero'!$J$18+('Análisis financiero'!$J$18*'Análisis de Sensibilidad'!$N$16))*'Análisis financiero'!$J$19))-'Análisis financiero'!C10-'Análisis financiero'!D10</f>
        <v>1731811.5886409995</v>
      </c>
      <c r="E24" s="1">
        <f>('Análisis financiero'!F10+('Análisis financiero'!G10*98%)*('Previsiones precio CERs'!C8+('Previsiones precio CERs'!C8*'Análisis de Sensibilidad'!$N$17))*(1/'Análisis financiero'!$J$20))-'Análisis financiero'!D10-'Análisis financiero'!C10</f>
        <v>1730642.2562649087</v>
      </c>
      <c r="F24">
        <f>('Análisis financiero'!F10+'Análisis financiero'!H10)-('Análisis financiero'!C10+('Análisis financiero'!D10+('Análisis financiero'!D10*$Q$14)))</f>
        <v>1507236.1220085993</v>
      </c>
      <c r="G24">
        <f>('Análisis financiero'!F10+'Análisis financiero'!H10)-('Análisis financiero'!D10+('Análisis financiero'!C10+('Análisis financiero'!C10*$Q$15)))</f>
        <v>1708631.1220085993</v>
      </c>
      <c r="H24">
        <f>('Análisis financiero'!H10+('Análisis financiero'!E10*('Análisis financiero'!$J$18+('Análisis financiero'!$J$18*$Q$16))*'Análisis financiero'!$J$19))-'Análisis financiero'!C10-'Análisis financiero'!D10</f>
        <v>1536775.9383545993</v>
      </c>
      <c r="I24">
        <f>('Análisis financiero'!F10+('Análisis financiero'!G10*98%)*('Previsiones precio CERs'!C8+('Previsiones precio CERs'!C8*$Q$17))*(1/'Análisis financiero'!$J$20))-'Análisis financiero'!D10-'Análisis financiero'!C10</f>
        <v>1544159.035482286</v>
      </c>
      <c r="O24" s="84"/>
      <c r="P24" s="75"/>
      <c r="S24" s="77"/>
    </row>
    <row r="25" spans="1:20" x14ac:dyDescent="0.25">
      <c r="B25" s="1">
        <f>('Análisis financiero'!F11+'Análisis financiero'!H11)-('Análisis financiero'!C11+('Análisis financiero'!D11+('Análisis financiero'!D11*'Análisis de Sensibilidad'!$N$14)))</f>
        <v>1488216.9949482847</v>
      </c>
      <c r="C25" s="1">
        <f>('Análisis financiero'!F11+'Análisis financiero'!H11)-('Análisis financiero'!D11+('Análisis financiero'!C11+('Análisis financiero'!C11*'Análisis de Sensibilidad'!$N$15)))</f>
        <v>1461191.9949482847</v>
      </c>
      <c r="D25" s="1">
        <f>('Análisis financiero'!H11+('Análisis financiero'!E11*('Análisis financiero'!$J$18+('Análisis financiero'!$J$18*'Análisis de Sensibilidad'!$N$16))*'Análisis financiero'!$J$19))-'Análisis financiero'!C11-'Análisis financiero'!D11</f>
        <v>1481663.0563898848</v>
      </c>
      <c r="E25" s="1">
        <f>('Análisis financiero'!F11+('Análisis financiero'!G11*98%)*('Previsiones precio CERs'!C9+('Previsiones precio CERs'!C9*'Análisis de Sensibilidad'!$N$17))*(1/'Análisis financiero'!$J$20))-'Análisis financiero'!D11-'Análisis financiero'!C11</f>
        <v>1479900.9865424228</v>
      </c>
      <c r="F25">
        <f>('Análisis financiero'!F11+'Análisis financiero'!H11)-('Análisis financiero'!C11+('Análisis financiero'!D11+('Análisis financiero'!D11*$Q$14)))</f>
        <v>1259796.9949482847</v>
      </c>
      <c r="G25">
        <f>('Análisis financiero'!F11+'Análisis financiero'!H11)-('Análisis financiero'!D11+('Análisis financiero'!C11+('Análisis financiero'!C11*$Q$15)))</f>
        <v>1461191.9949482847</v>
      </c>
      <c r="H25">
        <f>('Análisis financiero'!H11+('Análisis financiero'!E11*('Análisis financiero'!$J$18+('Análisis financiero'!$J$18*$Q$16))*'Análisis financiero'!$J$19))-'Análisis financiero'!C11-'Análisis financiero'!D11</f>
        <v>1309423.7808122849</v>
      </c>
      <c r="I25">
        <f>('Análisis financiero'!F11+('Análisis financiero'!G11*98%)*('Previsiones precio CERs'!C9+('Previsiones precio CERs'!C9*$Q$17))*(1/'Análisis financiero'!$J$20))-'Análisis financiero'!D11-'Análisis financiero'!C11</f>
        <v>1321394.2522031961</v>
      </c>
      <c r="O25" s="84"/>
      <c r="P25" s="75"/>
      <c r="S25" s="82"/>
      <c r="T25" s="75"/>
    </row>
    <row r="26" spans="1:20" x14ac:dyDescent="0.25">
      <c r="B26" s="1">
        <f>('Análisis financiero'!F12+'Análisis financiero'!H12)-('Análisis financiero'!C12+('Análisis financiero'!D12+('Análisis financiero'!D12*'Análisis de Sensibilidad'!$N$14)))</f>
        <v>1339550.5361264562</v>
      </c>
      <c r="C26" s="1">
        <f>('Análisis financiero'!F12+'Análisis financiero'!H12)-('Análisis financiero'!D12+('Análisis financiero'!C12+('Análisis financiero'!C12*'Análisis de Sensibilidad'!$N$15)))</f>
        <v>1312525.5361264562</v>
      </c>
      <c r="D26" s="1">
        <f>('Análisis financiero'!H12+('Análisis financiero'!E12*('Análisis financiero'!$J$18+('Análisis financiero'!$J$18*'Análisis de Sensibilidad'!$N$16))*'Análisis financiero'!$J$19))-'Análisis financiero'!C12-'Análisis financiero'!D12</f>
        <v>1331340.8499514563</v>
      </c>
      <c r="E26" s="1">
        <f>('Análisis financiero'!F12+('Análisis financiero'!G12*98%)*('Previsiones precio CERs'!C10+('Previsiones precio CERs'!C10*'Análisis de Sensibilidad'!$N$17))*(1/'Análisis financiero'!$J$20))-'Análisis financiero'!D12-'Análisis financiero'!C12</f>
        <v>1329308.2199270087</v>
      </c>
      <c r="F26">
        <f>('Análisis financiero'!F12+'Análisis financiero'!H12)-('Análisis financiero'!C12+('Análisis financiero'!D12+('Análisis financiero'!D12*$Q$14)))</f>
        <v>1111130.5361264562</v>
      </c>
      <c r="G26">
        <f>('Análisis financiero'!F12+'Análisis financiero'!H12)-('Análisis financiero'!D12+('Análisis financiero'!C12+('Análisis financiero'!C12*$Q$15)))</f>
        <v>1312525.5361264562</v>
      </c>
      <c r="H26">
        <f>('Análisis financiero'!H12+('Análisis financiero'!E12*('Análisis financiero'!$J$18+('Análisis financiero'!$J$18*$Q$16))*'Análisis financiero'!$J$19))-'Análisis financiero'!C12-'Análisis financiero'!D12</f>
        <v>1173032.6922514564</v>
      </c>
      <c r="I26">
        <f>('Análisis financiero'!F12+('Análisis financiero'!G12*98%)*('Previsiones precio CERs'!C10+('Previsiones precio CERs'!C10*$Q$17))*(1/'Análisis financiero'!$J$20))-'Análisis financiero'!D12-'Análisis financiero'!C12</f>
        <v>1187121.5932834395</v>
      </c>
      <c r="O26" s="84"/>
      <c r="P26" s="75"/>
      <c r="S26" s="78"/>
      <c r="T26" s="75"/>
    </row>
    <row r="27" spans="1:20" x14ac:dyDescent="0.25">
      <c r="S27" s="71"/>
    </row>
    <row r="28" spans="1:20" x14ac:dyDescent="0.25">
      <c r="F28">
        <v>-5200000</v>
      </c>
    </row>
    <row r="29" spans="1:20" x14ac:dyDescent="0.25">
      <c r="F29">
        <v>-2600000</v>
      </c>
    </row>
    <row r="30" spans="1:20" x14ac:dyDescent="0.25">
      <c r="F30">
        <v>2150769.2198398081</v>
      </c>
    </row>
    <row r="31" spans="1:20" x14ac:dyDescent="0.25">
      <c r="F31">
        <v>2436453.9157851906</v>
      </c>
    </row>
    <row r="32" spans="1:20" x14ac:dyDescent="0.25">
      <c r="F32">
        <v>2376372.6162928673</v>
      </c>
    </row>
    <row r="33" spans="6:6" x14ac:dyDescent="0.25">
      <c r="F33">
        <v>2060945.7939581666</v>
      </c>
    </row>
    <row r="34" spans="6:6" x14ac:dyDescent="0.25">
      <c r="F34">
        <v>1708631.1220085993</v>
      </c>
    </row>
    <row r="35" spans="6:6" x14ac:dyDescent="0.25">
      <c r="F35">
        <v>1461191.9949482847</v>
      </c>
    </row>
    <row r="36" spans="6:6" x14ac:dyDescent="0.25">
      <c r="F36">
        <v>1312525.5361264562</v>
      </c>
    </row>
  </sheetData>
  <mergeCells count="12">
    <mergeCell ref="B16:E16"/>
    <mergeCell ref="B2:G2"/>
    <mergeCell ref="B3:D3"/>
    <mergeCell ref="E3:G3"/>
    <mergeCell ref="B15:I15"/>
    <mergeCell ref="L11:L13"/>
    <mergeCell ref="L14:L17"/>
    <mergeCell ref="P21:R21"/>
    <mergeCell ref="F16:I16"/>
    <mergeCell ref="M8:R8"/>
    <mergeCell ref="M9:O9"/>
    <mergeCell ref="P9:R9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Tasas de retorno</vt:lpstr>
      <vt:lpstr>Previsiones gas recuperado</vt:lpstr>
      <vt:lpstr>Previsiones precio CERs</vt:lpstr>
      <vt:lpstr>Análisis financiero</vt:lpstr>
      <vt:lpstr>Análisis de Sensibilidad</vt:lpstr>
      <vt:lpstr>'Tasas de retorno'!TextView.aspx?data_yieldYear_year_2011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</dc:creator>
  <cp:lastModifiedBy>Germán</cp:lastModifiedBy>
  <dcterms:created xsi:type="dcterms:W3CDTF">2012-01-16T07:30:59Z</dcterms:created>
  <dcterms:modified xsi:type="dcterms:W3CDTF">2012-03-20T16:22:50Z</dcterms:modified>
</cp:coreProperties>
</file>