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255" windowWidth="20115" windowHeight="7815" firstSheet="1" activeTab="4"/>
  </bookViews>
  <sheets>
    <sheet name="Previsiones gas recuperado" sheetId="5" r:id="rId1"/>
    <sheet name="Emisiones de la línea base" sheetId="1" r:id="rId2"/>
    <sheet name="Emisiones del proyecto" sheetId="2" r:id="rId3"/>
    <sheet name="Leakage" sheetId="3" r:id="rId4"/>
    <sheet name="Reducción de emisiones" sheetId="4" r:id="rId5"/>
  </sheets>
  <definedNames>
    <definedName name="_xlnm.Print_Area" localSheetId="1">'Emisiones de la línea base'!$A$1:$F$26</definedName>
    <definedName name="_xlnm.Print_Area" localSheetId="2">'Emisiones del proyecto'!$A$1:$E$18</definedName>
    <definedName name="_xlnm.Print_Area" localSheetId="3">Leakage!$A$1:$F$18</definedName>
    <definedName name="_xlnm.Print_Area" localSheetId="0">'Previsiones gas recuperado'!$A$2:$J$38</definedName>
    <definedName name="_xlnm.Print_Area" localSheetId="4">'Reducción de emisiones'!$A$1:$G$12</definedName>
  </definedNames>
  <calcPr calcId="145621" iterate="1" concurrentCalc="0"/>
</workbook>
</file>

<file path=xl/calcChain.xml><?xml version="1.0" encoding="utf-8"?>
<calcChain xmlns="http://schemas.openxmlformats.org/spreadsheetml/2006/main">
  <c r="F12" i="4" l="1"/>
  <c r="D9" i="5"/>
  <c r="C6" i="1"/>
  <c r="C7" i="1"/>
  <c r="C8" i="1"/>
  <c r="C9" i="1"/>
  <c r="C10" i="1"/>
  <c r="C5" i="1"/>
  <c r="C4" i="1"/>
  <c r="C4" i="3"/>
  <c r="C4" i="2"/>
  <c r="D4" i="1"/>
  <c r="E4" i="1"/>
  <c r="C4" i="4"/>
  <c r="D4" i="3"/>
  <c r="E4" i="4"/>
  <c r="D4" i="2"/>
  <c r="D4" i="4"/>
  <c r="F4" i="4"/>
  <c r="D5" i="1"/>
  <c r="E5" i="1"/>
  <c r="C5" i="4"/>
  <c r="D5" i="3"/>
  <c r="E5" i="4"/>
  <c r="D5" i="4"/>
  <c r="F5" i="4"/>
  <c r="D6" i="1"/>
  <c r="E6" i="1"/>
  <c r="C6" i="4"/>
  <c r="D6" i="3"/>
  <c r="E6" i="4"/>
  <c r="D6" i="4"/>
  <c r="F6" i="4"/>
  <c r="D7" i="1"/>
  <c r="E7" i="1"/>
  <c r="C7" i="4"/>
  <c r="D7" i="3"/>
  <c r="E7" i="4"/>
  <c r="D7" i="4"/>
  <c r="F7" i="4"/>
  <c r="D8" i="1"/>
  <c r="E8" i="1"/>
  <c r="C8" i="4"/>
  <c r="D8" i="3"/>
  <c r="E8" i="4"/>
  <c r="D8" i="4"/>
  <c r="F8" i="4"/>
  <c r="D9" i="1"/>
  <c r="E9" i="1"/>
  <c r="C9" i="4"/>
  <c r="D9" i="3"/>
  <c r="E9" i="4"/>
  <c r="D9" i="4"/>
  <c r="F9" i="4"/>
  <c r="D10" i="1"/>
  <c r="E10" i="1"/>
  <c r="C10" i="4"/>
  <c r="D10" i="3"/>
  <c r="E10" i="4"/>
  <c r="D10" i="4"/>
  <c r="F10" i="4"/>
  <c r="F11" i="4"/>
  <c r="D11" i="3"/>
  <c r="D11" i="2"/>
  <c r="D5" i="2"/>
  <c r="D6" i="2"/>
  <c r="D7" i="2"/>
  <c r="D8" i="2"/>
  <c r="D9" i="2"/>
  <c r="D10" i="2"/>
  <c r="E11" i="1"/>
  <c r="E18" i="1"/>
  <c r="D12" i="5"/>
  <c r="D13" i="5"/>
  <c r="D14" i="5"/>
  <c r="D15" i="5"/>
  <c r="D16" i="5"/>
  <c r="D17" i="5"/>
  <c r="D18" i="5"/>
  <c r="D5" i="5"/>
  <c r="D6" i="5"/>
  <c r="D7" i="5"/>
  <c r="D8" i="5"/>
  <c r="D10" i="5"/>
  <c r="D11" i="5"/>
  <c r="D4" i="5"/>
</calcChain>
</file>

<file path=xl/comments1.xml><?xml version="1.0" encoding="utf-8"?>
<comments xmlns="http://schemas.openxmlformats.org/spreadsheetml/2006/main">
  <authors>
    <author>Germán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MMSCF: million standard cubic feet per day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MMSCF al año</t>
        </r>
      </text>
    </comment>
  </commentList>
</comments>
</file>

<file path=xl/comments2.xml><?xml version="1.0" encoding="utf-8"?>
<comments xmlns="http://schemas.openxmlformats.org/spreadsheetml/2006/main">
  <authors>
    <author>Germán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MMSCF: million standard cubic feet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El 1% del gas recuperado se utiliza para la procucción de electricidad en una turbina dual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BEy, calculadas según el cuadro de la derecha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El proyecto estará operativo en el mes de Marzo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BE: emisiones totales de la linea base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LHV: poder calorífico inferior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Factor de emisión de CO2 para el metano</t>
        </r>
      </text>
    </comment>
  </commentList>
</comments>
</file>

<file path=xl/comments3.xml><?xml version="1.0" encoding="utf-8"?>
<comments xmlns="http://schemas.openxmlformats.org/spreadsheetml/2006/main">
  <authors>
    <author>Germán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EC PJ,j,y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PE EC,y , calculadas según el cuadro de la derecha (solo se ha considerado relevante el consumo eléctrico)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El proyecto estará operativo en el mes de Marzo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PE: emisiones totales del proyecto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Factor de emisión para la generación de electricidad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Media de las pérdidas técnicas por transmisión y distribución</t>
        </r>
      </text>
    </comment>
  </commentList>
</comments>
</file>

<file path=xl/comments4.xml><?xml version="1.0" encoding="utf-8"?>
<comments xmlns="http://schemas.openxmlformats.org/spreadsheetml/2006/main">
  <authors>
    <author>Germán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EC LE,l,y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LE EC,y , calculadas según el cuadro de abajo a la derecha (solo se ha considerado relevante el consumo eléctrico)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El proyecto estará operativo en el mes de Marzo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LE: emisiones totales de </t>
        </r>
        <r>
          <rPr>
            <i/>
            <sz val="9"/>
            <color indexed="81"/>
            <rFont val="Tahoma"/>
            <family val="2"/>
          </rPr>
          <t>leakage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Factor de emisión para la generación de electricidad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Media de las pérdidas técnicas por transmisión y distribución</t>
        </r>
      </text>
    </comment>
  </commentList>
</comments>
</file>

<file path=xl/comments5.xml><?xml version="1.0" encoding="utf-8"?>
<comments xmlns="http://schemas.openxmlformats.org/spreadsheetml/2006/main">
  <authors>
    <author>Germán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BEy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PE EC,y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LE EC,y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ERy, calculadas según el cuadro de lla derecha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El proyecto estará operativo en el mes de Marzo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Germán:</t>
        </r>
        <r>
          <rPr>
            <sz val="9"/>
            <color indexed="81"/>
            <rFont val="Tahoma"/>
            <family val="2"/>
          </rPr>
          <t xml:space="preserve">
ER: reducción total de emisiones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Germán:</t>
        </r>
        <r>
          <rPr>
            <sz val="9"/>
            <color indexed="81"/>
            <rFont val="Tahoma"/>
            <charset val="1"/>
          </rPr>
          <t xml:space="preserve">
Media anual de la reducción de emisiones</t>
        </r>
      </text>
    </comment>
  </commentList>
</comments>
</file>

<file path=xl/sharedStrings.xml><?xml version="1.0" encoding="utf-8"?>
<sst xmlns="http://schemas.openxmlformats.org/spreadsheetml/2006/main" count="52" uniqueCount="40">
  <si>
    <t>Año</t>
  </si>
  <si>
    <t>Volumen de gas recuperado, predicción (MMSCF)</t>
  </si>
  <si>
    <t>Volumen de gas quemado en antorcha (Nm3)</t>
  </si>
  <si>
    <t>SCF/Nm3</t>
  </si>
  <si>
    <t>BTU/J</t>
  </si>
  <si>
    <t>Datos</t>
  </si>
  <si>
    <t>Factores de conversión</t>
  </si>
  <si>
    <t>Emisiones de la línea base (tCO2)</t>
  </si>
  <si>
    <t>LHV gas recuperado (BTU/SCF)</t>
  </si>
  <si>
    <t>LHV gas recuperado (TJ/Nm3)</t>
  </si>
  <si>
    <t>EF CO2,methane (tCO2/TJ)</t>
  </si>
  <si>
    <t>VF,y: volumen de gas recuperado (Nm3)</t>
  </si>
  <si>
    <t>BEy: emisiones de la linea base (tC02)</t>
  </si>
  <si>
    <t>EF CO2,methane: factor de emisión de CO2 para el metano (tCO2/TJ)</t>
  </si>
  <si>
    <t>Cantidad de electricidad consumida (MWh)</t>
  </si>
  <si>
    <t>MMSCFD</t>
  </si>
  <si>
    <t>NCV RG,F,y: poder calorifico neto del gas reguperado (TJ/Nm3)</t>
  </si>
  <si>
    <t>Emisiones de la línea base</t>
  </si>
  <si>
    <t>MMSCF</t>
  </si>
  <si>
    <t>Emisiones del proyecto (tCO2)</t>
  </si>
  <si>
    <t>Emisiones del proyecto</t>
  </si>
  <si>
    <t>PE EC,y: emisiones del proyecto debidas al consumo eléctrico (tCO2)</t>
  </si>
  <si>
    <t>Leakage</t>
  </si>
  <si>
    <t>Emisiones línea base (tCO2)</t>
  </si>
  <si>
    <t>Reducción de emisiones</t>
  </si>
  <si>
    <t>Reducción de emisiones (tCO2)</t>
  </si>
  <si>
    <t>ERy: reducción de emisiones (tCO2)</t>
  </si>
  <si>
    <t>BEy: emisiones de la línea base (tCO2)</t>
  </si>
  <si>
    <t>PE EC,y: emisiones del proyecto (tCO2)</t>
  </si>
  <si>
    <r>
      <t xml:space="preserve">Leakage </t>
    </r>
    <r>
      <rPr>
        <sz val="11"/>
        <color theme="0"/>
        <rFont val="Calibri"/>
        <family val="2"/>
        <scheme val="minor"/>
      </rPr>
      <t>(tCO2)</t>
    </r>
  </si>
  <si>
    <r>
      <t xml:space="preserve">Emisiones de </t>
    </r>
    <r>
      <rPr>
        <i/>
        <sz val="11"/>
        <color theme="0"/>
        <rFont val="Calibri"/>
        <family val="2"/>
        <scheme val="minor"/>
      </rPr>
      <t>leakage</t>
    </r>
    <r>
      <rPr>
        <sz val="11"/>
        <color theme="0"/>
        <rFont val="Calibri"/>
        <family val="2"/>
        <scheme val="minor"/>
      </rPr>
      <t xml:space="preserve"> (tCO2)</t>
    </r>
  </si>
  <si>
    <r>
      <t xml:space="preserve">LE EC,y: emisiones de </t>
    </r>
    <r>
      <rPr>
        <i/>
        <sz val="11"/>
        <rFont val="Calibri"/>
        <family val="2"/>
        <scheme val="minor"/>
      </rPr>
      <t>leakage</t>
    </r>
    <r>
      <rPr>
        <sz val="11"/>
        <rFont val="Calibri"/>
        <family val="2"/>
        <scheme val="minor"/>
      </rPr>
      <t xml:space="preserve"> debidas al consumo eléctrico (tCO2)</t>
    </r>
  </si>
  <si>
    <r>
      <t xml:space="preserve">LE EC,y: emisiones de </t>
    </r>
    <r>
      <rPr>
        <i/>
        <sz val="11"/>
        <rFont val="Calibri"/>
        <family val="2"/>
        <scheme val="minor"/>
      </rPr>
      <t>leakage</t>
    </r>
    <r>
      <rPr>
        <sz val="11"/>
        <rFont val="Calibri"/>
        <family val="2"/>
        <scheme val="minor"/>
      </rPr>
      <t xml:space="preserve"> (tCO2)</t>
    </r>
  </si>
  <si>
    <t>EF EL,y (tCO2/MWh)</t>
  </si>
  <si>
    <t>EC PJ,y: cantidad de electricidad consumida (MWh)</t>
  </si>
  <si>
    <t>EF EL,y: factor de emisión para la generación de electricidad (tCO2/MWh)</t>
  </si>
  <si>
    <t>TDL y: media de las pérdidas técnicas por transmisión y distribución</t>
  </si>
  <si>
    <t>TDL y</t>
  </si>
  <si>
    <t>EC LE,y: cantidad de electricidad consumida (MWh)</t>
  </si>
  <si>
    <t>Previsiones gas recuperado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</si>
</sst>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Verdana"/>
      <family val="2"/>
    </font>
    <font>
      <sz val="8"/>
      <name val="Verdana"/>
      <family val="2"/>
    </font>
    <font>
      <i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2" fillId="3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1" fillId="0" borderId="0" xfId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0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center" vertical="center" wrapText="1"/>
    </xf>
    <xf numFmtId="0" fontId="12" fillId="4" borderId="0" xfId="1" applyFont="1" applyFill="1" applyAlignment="1">
      <alignment horizontal="center" vertical="center"/>
    </xf>
    <xf numFmtId="0" fontId="10" fillId="4" borderId="0" xfId="1" applyFont="1" applyFill="1"/>
    <xf numFmtId="0" fontId="10" fillId="4" borderId="0" xfId="1" applyNumberFormat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wrapText="1"/>
    </xf>
    <xf numFmtId="0" fontId="10" fillId="4" borderId="0" xfId="1" applyNumberFormat="1" applyFont="1" applyFill="1" applyAlignment="1">
      <alignment wrapText="1"/>
    </xf>
    <xf numFmtId="0" fontId="1" fillId="5" borderId="1" xfId="1" applyFill="1" applyBorder="1"/>
    <xf numFmtId="0" fontId="1" fillId="5" borderId="2" xfId="1" applyFill="1" applyBorder="1"/>
    <xf numFmtId="0" fontId="1" fillId="5" borderId="3" xfId="1" applyFill="1" applyBorder="1"/>
    <xf numFmtId="0" fontId="1" fillId="5" borderId="4" xfId="1" applyFill="1" applyBorder="1"/>
    <xf numFmtId="0" fontId="1" fillId="5" borderId="0" xfId="1" applyFill="1" applyBorder="1"/>
    <xf numFmtId="0" fontId="1" fillId="5" borderId="5" xfId="1" applyFill="1" applyBorder="1"/>
    <xf numFmtId="0" fontId="10" fillId="4" borderId="0" xfId="1" applyFont="1" applyFill="1" applyAlignment="1">
      <alignment horizontal="center"/>
    </xf>
    <xf numFmtId="0" fontId="10" fillId="4" borderId="0" xfId="0" applyFont="1" applyFill="1"/>
    <xf numFmtId="0" fontId="8" fillId="5" borderId="1" xfId="1" applyFont="1" applyFill="1" applyBorder="1"/>
    <xf numFmtId="0" fontId="8" fillId="5" borderId="2" xfId="1" applyFont="1" applyFill="1" applyBorder="1"/>
    <xf numFmtId="0" fontId="8" fillId="5" borderId="3" xfId="1" applyFont="1" applyFill="1" applyBorder="1"/>
    <xf numFmtId="0" fontId="8" fillId="5" borderId="4" xfId="1" applyFont="1" applyFill="1" applyBorder="1"/>
    <xf numFmtId="0" fontId="8" fillId="5" borderId="0" xfId="1" applyFont="1" applyFill="1" applyBorder="1"/>
    <xf numFmtId="0" fontId="8" fillId="5" borderId="5" xfId="1" applyFont="1" applyFill="1" applyBorder="1"/>
    <xf numFmtId="0" fontId="0" fillId="0" borderId="9" xfId="0" applyBorder="1"/>
    <xf numFmtId="0" fontId="0" fillId="0" borderId="0" xfId="0" applyAlignment="1">
      <alignment horizontal="center"/>
    </xf>
    <xf numFmtId="0" fontId="10" fillId="0" borderId="0" xfId="0" applyFont="1" applyFill="1" applyBorder="1"/>
    <xf numFmtId="0" fontId="2" fillId="0" borderId="0" xfId="0" applyFont="1" applyFill="1" applyBorder="1"/>
    <xf numFmtId="0" fontId="10" fillId="4" borderId="0" xfId="1" applyFont="1" applyFill="1" applyAlignment="1">
      <alignment vertical="center"/>
    </xf>
    <xf numFmtId="2" fontId="0" fillId="0" borderId="0" xfId="0" applyNumberFormat="1"/>
    <xf numFmtId="2" fontId="0" fillId="6" borderId="0" xfId="0" applyNumberFormat="1" applyFill="1"/>
    <xf numFmtId="2" fontId="2" fillId="3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2" fontId="8" fillId="6" borderId="0" xfId="0" applyNumberFormat="1" applyFont="1" applyFill="1"/>
    <xf numFmtId="2" fontId="0" fillId="0" borderId="0" xfId="0" applyNumberFormat="1" applyAlignment="1">
      <alignment horizontal="center" vertical="center"/>
    </xf>
    <xf numFmtId="2" fontId="8" fillId="6" borderId="0" xfId="0" applyNumberFormat="1" applyFont="1" applyFill="1" applyBorder="1"/>
    <xf numFmtId="2" fontId="2" fillId="3" borderId="0" xfId="0" applyNumberFormat="1" applyFont="1" applyFill="1" applyBorder="1" applyAlignment="1">
      <alignment horizontal="right"/>
    </xf>
    <xf numFmtId="0" fontId="0" fillId="6" borderId="0" xfId="0" applyFill="1"/>
    <xf numFmtId="2" fontId="8" fillId="3" borderId="0" xfId="0" applyNumberFormat="1" applyFont="1" applyFill="1" applyBorder="1"/>
    <xf numFmtId="0" fontId="9" fillId="4" borderId="10" xfId="0" applyFont="1" applyFill="1" applyBorder="1" applyAlignment="1">
      <alignment horizontal="center" vertical="center"/>
    </xf>
    <xf numFmtId="0" fontId="9" fillId="4" borderId="0" xfId="1" applyNumberFormat="1" applyFont="1" applyFill="1" applyAlignment="1">
      <alignment horizontal="center" wrapText="1"/>
    </xf>
    <xf numFmtId="0" fontId="9" fillId="4" borderId="10" xfId="1" applyFont="1" applyFill="1" applyBorder="1" applyAlignment="1">
      <alignment horizontal="center" vertical="center"/>
    </xf>
    <xf numFmtId="0" fontId="1" fillId="5" borderId="4" xfId="1" applyFill="1" applyBorder="1" applyAlignment="1">
      <alignment horizontal="center"/>
    </xf>
    <xf numFmtId="0" fontId="1" fillId="5" borderId="0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0" fillId="5" borderId="4" xfId="1" applyFont="1" applyFill="1" applyBorder="1" applyAlignment="1">
      <alignment horizontal="center"/>
    </xf>
    <xf numFmtId="0" fontId="0" fillId="5" borderId="0" xfId="1" applyFont="1" applyFill="1" applyBorder="1" applyAlignment="1">
      <alignment horizontal="center"/>
    </xf>
    <xf numFmtId="0" fontId="0" fillId="5" borderId="5" xfId="1" applyFont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9" fillId="4" borderId="0" xfId="1" applyFont="1" applyFill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0" fontId="13" fillId="4" borderId="10" xfId="1" applyFont="1" applyFill="1" applyBorder="1" applyAlignment="1">
      <alignment horizontal="center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Previsiones del volumen de gas recuperado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05796150481191"/>
          <c:y val="0.17165536599591719"/>
          <c:w val="0.7353864829396326"/>
          <c:h val="0.69254994167395745"/>
        </c:manualLayout>
      </c:layout>
      <c:area3DChart>
        <c:grouping val="standard"/>
        <c:varyColors val="0"/>
        <c:ser>
          <c:idx val="0"/>
          <c:order val="0"/>
          <c:tx>
            <c:strRef>
              <c:f>'Previsiones gas recuperado'!$D$3:$D$18</c:f>
              <c:strCache>
                <c:ptCount val="1"/>
                <c:pt idx="0">
                  <c:v>MMSCF 2018,45 1974,65 1642,5 1438,1 1292,1 1160,7 1007,4 897,9 799,35 748,25 733,65 657 562,1 496,4 456,25</c:v>
                </c:pt>
              </c:strCache>
            </c:strRef>
          </c:tx>
          <c:cat>
            <c:numRef>
              <c:f>'Previsiones gas recuperado'!$B$4:$B$18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'Previsiones gas recuperado'!$D$4:$D$18</c:f>
              <c:numCache>
                <c:formatCode>General</c:formatCode>
                <c:ptCount val="15"/>
                <c:pt idx="0">
                  <c:v>2018.45</c:v>
                </c:pt>
                <c:pt idx="1">
                  <c:v>1974.65</c:v>
                </c:pt>
                <c:pt idx="2">
                  <c:v>1642.5</c:v>
                </c:pt>
                <c:pt idx="3">
                  <c:v>1438.1</c:v>
                </c:pt>
                <c:pt idx="4">
                  <c:v>1292.0999999999999</c:v>
                </c:pt>
                <c:pt idx="5">
                  <c:v>1160.7</c:v>
                </c:pt>
                <c:pt idx="6">
                  <c:v>1007.4</c:v>
                </c:pt>
                <c:pt idx="7">
                  <c:v>897.9</c:v>
                </c:pt>
                <c:pt idx="8">
                  <c:v>799.35</c:v>
                </c:pt>
                <c:pt idx="9">
                  <c:v>748.24999999999989</c:v>
                </c:pt>
                <c:pt idx="10">
                  <c:v>733.65</c:v>
                </c:pt>
                <c:pt idx="11">
                  <c:v>657</c:v>
                </c:pt>
                <c:pt idx="12">
                  <c:v>562.1</c:v>
                </c:pt>
                <c:pt idx="13">
                  <c:v>496.40000000000003</c:v>
                </c:pt>
                <c:pt idx="14">
                  <c:v>456.25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42816"/>
        <c:axId val="93446144"/>
        <c:axId val="5062144"/>
      </c:area3DChart>
      <c:catAx>
        <c:axId val="9344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446144"/>
        <c:crossesAt val="0"/>
        <c:auto val="1"/>
        <c:lblAlgn val="ctr"/>
        <c:lblOffset val="100"/>
        <c:noMultiLvlLbl val="0"/>
      </c:catAx>
      <c:valAx>
        <c:axId val="93446144"/>
        <c:scaling>
          <c:orientation val="minMax"/>
          <c:max val="2500"/>
          <c:min val="0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MMSCF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3442816"/>
        <c:crosses val="autoZero"/>
        <c:crossBetween val="midCat"/>
        <c:majorUnit val="500"/>
        <c:minorUnit val="250"/>
      </c:valAx>
      <c:serAx>
        <c:axId val="506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446144"/>
        <c:crossesAt val="0"/>
      </c:ser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511175</xdr:colOff>
      <xdr:row>19</xdr:row>
      <xdr:rowOff>179387</xdr:rowOff>
    </xdr:from>
    <xdr:to>
      <xdr:col>8</xdr:col>
      <xdr:colOff>640675</xdr:colOff>
      <xdr:row>36</xdr:row>
      <xdr:rowOff>180887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9</xdr:row>
      <xdr:rowOff>123825</xdr:rowOff>
    </xdr:from>
    <xdr:to>
      <xdr:col>12</xdr:col>
      <xdr:colOff>11877</xdr:colOff>
      <xdr:row>11</xdr:row>
      <xdr:rowOff>102825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1838325"/>
          <a:ext cx="3002727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9</xdr:row>
      <xdr:rowOff>161925</xdr:rowOff>
    </xdr:from>
    <xdr:to>
      <xdr:col>11</xdr:col>
      <xdr:colOff>229521</xdr:colOff>
      <xdr:row>11</xdr:row>
      <xdr:rowOff>176925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066925"/>
          <a:ext cx="3496596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9</xdr:row>
      <xdr:rowOff>142875</xdr:rowOff>
    </xdr:from>
    <xdr:to>
      <xdr:col>11</xdr:col>
      <xdr:colOff>270900</xdr:colOff>
      <xdr:row>12</xdr:row>
      <xdr:rowOff>3375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047875"/>
          <a:ext cx="3585600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9</xdr:row>
      <xdr:rowOff>161925</xdr:rowOff>
    </xdr:from>
    <xdr:to>
      <xdr:col>12</xdr:col>
      <xdr:colOff>742950</xdr:colOff>
      <xdr:row>12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876425"/>
          <a:ext cx="30003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18"/>
  <sheetViews>
    <sheetView zoomScaleNormal="100" workbookViewId="0">
      <selection activeCell="E2" sqref="E2"/>
    </sheetView>
  </sheetViews>
  <sheetFormatPr baseColWidth="10" defaultRowHeight="15" x14ac:dyDescent="0.25"/>
  <cols>
    <col min="2" max="2" width="5" bestFit="1" customWidth="1"/>
    <col min="3" max="3" width="8.85546875" bestFit="1" customWidth="1"/>
    <col min="4" max="4" width="11" customWidth="1"/>
  </cols>
  <sheetData>
    <row r="2" spans="2:4" x14ac:dyDescent="0.25">
      <c r="B2" s="45" t="s">
        <v>39</v>
      </c>
      <c r="C2" s="45"/>
      <c r="D2" s="45"/>
    </row>
    <row r="3" spans="2:4" x14ac:dyDescent="0.25">
      <c r="B3" s="21" t="s">
        <v>0</v>
      </c>
      <c r="C3" s="21" t="s">
        <v>15</v>
      </c>
      <c r="D3" s="21" t="s">
        <v>18</v>
      </c>
    </row>
    <row r="4" spans="2:4" x14ac:dyDescent="0.25">
      <c r="B4">
        <v>2006</v>
      </c>
      <c r="C4">
        <v>5.53</v>
      </c>
      <c r="D4" s="43">
        <f>C4*365</f>
        <v>2018.45</v>
      </c>
    </row>
    <row r="5" spans="2:4" x14ac:dyDescent="0.25">
      <c r="B5">
        <v>2007</v>
      </c>
      <c r="C5">
        <v>5.41</v>
      </c>
      <c r="D5" s="43">
        <f t="shared" ref="D5:D18" si="0">C5*365</f>
        <v>1974.65</v>
      </c>
    </row>
    <row r="6" spans="2:4" x14ac:dyDescent="0.25">
      <c r="B6">
        <v>2008</v>
      </c>
      <c r="C6">
        <v>4.5</v>
      </c>
      <c r="D6" s="43">
        <f t="shared" si="0"/>
        <v>1642.5</v>
      </c>
    </row>
    <row r="7" spans="2:4" x14ac:dyDescent="0.25">
      <c r="B7">
        <v>2009</v>
      </c>
      <c r="C7">
        <v>3.94</v>
      </c>
      <c r="D7" s="43">
        <f t="shared" si="0"/>
        <v>1438.1</v>
      </c>
    </row>
    <row r="8" spans="2:4" x14ac:dyDescent="0.25">
      <c r="B8">
        <v>2010</v>
      </c>
      <c r="C8">
        <v>3.54</v>
      </c>
      <c r="D8" s="43">
        <f t="shared" si="0"/>
        <v>1292.0999999999999</v>
      </c>
    </row>
    <row r="9" spans="2:4" x14ac:dyDescent="0.25">
      <c r="B9">
        <v>2011</v>
      </c>
      <c r="C9">
        <v>3.18</v>
      </c>
      <c r="D9" s="43">
        <f t="shared" si="0"/>
        <v>1160.7</v>
      </c>
    </row>
    <row r="10" spans="2:4" x14ac:dyDescent="0.25">
      <c r="B10">
        <v>2012</v>
      </c>
      <c r="C10">
        <v>2.76</v>
      </c>
      <c r="D10" s="43">
        <f t="shared" si="0"/>
        <v>1007.4</v>
      </c>
    </row>
    <row r="11" spans="2:4" x14ac:dyDescent="0.25">
      <c r="B11">
        <v>2013</v>
      </c>
      <c r="C11">
        <v>2.46</v>
      </c>
      <c r="D11" s="43">
        <f t="shared" si="0"/>
        <v>897.9</v>
      </c>
    </row>
    <row r="12" spans="2:4" x14ac:dyDescent="0.25">
      <c r="B12">
        <v>2014</v>
      </c>
      <c r="C12">
        <v>2.19</v>
      </c>
      <c r="D12" s="43">
        <f t="shared" si="0"/>
        <v>799.35</v>
      </c>
    </row>
    <row r="13" spans="2:4" x14ac:dyDescent="0.25">
      <c r="B13">
        <v>2015</v>
      </c>
      <c r="C13">
        <v>2.0499999999999998</v>
      </c>
      <c r="D13" s="43">
        <f t="shared" si="0"/>
        <v>748.24999999999989</v>
      </c>
    </row>
    <row r="14" spans="2:4" x14ac:dyDescent="0.25">
      <c r="B14">
        <v>2016</v>
      </c>
      <c r="C14">
        <v>2.0099999999999998</v>
      </c>
      <c r="D14" s="43">
        <f t="shared" si="0"/>
        <v>733.65</v>
      </c>
    </row>
    <row r="15" spans="2:4" x14ac:dyDescent="0.25">
      <c r="B15">
        <v>2017</v>
      </c>
      <c r="C15">
        <v>1.8</v>
      </c>
      <c r="D15" s="43">
        <f t="shared" si="0"/>
        <v>657</v>
      </c>
    </row>
    <row r="16" spans="2:4" x14ac:dyDescent="0.25">
      <c r="B16">
        <v>2018</v>
      </c>
      <c r="C16">
        <v>1.54</v>
      </c>
      <c r="D16" s="43">
        <f t="shared" si="0"/>
        <v>562.1</v>
      </c>
    </row>
    <row r="17" spans="2:4" x14ac:dyDescent="0.25">
      <c r="B17">
        <v>2019</v>
      </c>
      <c r="C17">
        <v>1.36</v>
      </c>
      <c r="D17" s="43">
        <f t="shared" si="0"/>
        <v>496.40000000000003</v>
      </c>
    </row>
    <row r="18" spans="2:4" x14ac:dyDescent="0.25">
      <c r="B18">
        <v>2020</v>
      </c>
      <c r="C18">
        <v>1.25</v>
      </c>
      <c r="D18" s="43">
        <f t="shared" si="0"/>
        <v>456.25</v>
      </c>
    </row>
  </sheetData>
  <mergeCells count="1">
    <mergeCell ref="B2:D2"/>
  </mergeCells>
  <pageMargins left="0.7" right="0.7" top="0.75" bottom="0.75" header="0.3" footer="0.3"/>
  <pageSetup paperSize="9" scale="9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M25"/>
  <sheetViews>
    <sheetView zoomScaleNormal="100" workbookViewId="0">
      <selection activeCell="F8" sqref="F8"/>
    </sheetView>
  </sheetViews>
  <sheetFormatPr baseColWidth="10" defaultRowHeight="15" x14ac:dyDescent="0.25"/>
  <cols>
    <col min="2" max="2" width="5" bestFit="1" customWidth="1"/>
    <col min="3" max="3" width="27" customWidth="1"/>
    <col min="4" max="4" width="24.5703125" customWidth="1"/>
    <col min="5" max="5" width="16" customWidth="1"/>
  </cols>
  <sheetData>
    <row r="2" spans="2:13" x14ac:dyDescent="0.25">
      <c r="B2" s="47" t="s">
        <v>17</v>
      </c>
      <c r="C2" s="47"/>
      <c r="D2" s="47"/>
      <c r="E2" s="47"/>
    </row>
    <row r="3" spans="2:13" ht="30" x14ac:dyDescent="0.25">
      <c r="B3" s="33" t="s">
        <v>0</v>
      </c>
      <c r="C3" s="12" t="s">
        <v>1</v>
      </c>
      <c r="D3" s="13" t="s">
        <v>2</v>
      </c>
      <c r="E3" s="13" t="s">
        <v>7</v>
      </c>
    </row>
    <row r="4" spans="2:13" x14ac:dyDescent="0.25">
      <c r="B4">
        <v>2014</v>
      </c>
      <c r="C4" s="34">
        <f>'Previsiones gas recuperado'!D12*10/12</f>
        <v>666.125</v>
      </c>
      <c r="D4">
        <f t="shared" ref="D4:D10" si="0">(C4-(C4*1%))*$E$24*1000000</f>
        <v>18673936.089187499</v>
      </c>
      <c r="E4" s="35">
        <f t="shared" ref="E4:E10" si="1">D4*$E$18*$E$19</f>
        <v>60890.459891399223</v>
      </c>
      <c r="H4" s="4"/>
    </row>
    <row r="5" spans="2:13" x14ac:dyDescent="0.25">
      <c r="B5">
        <v>2015</v>
      </c>
      <c r="C5" s="34">
        <f>'Previsiones gas recuperado'!D13</f>
        <v>748.24999999999989</v>
      </c>
      <c r="D5">
        <f t="shared" si="0"/>
        <v>20976202.182374999</v>
      </c>
      <c r="E5" s="35">
        <f t="shared" si="1"/>
        <v>68397.502891708718</v>
      </c>
    </row>
    <row r="6" spans="2:13" x14ac:dyDescent="0.25">
      <c r="B6">
        <v>2016</v>
      </c>
      <c r="C6" s="34">
        <f>'Previsiones gas recuperado'!D14</f>
        <v>733.65</v>
      </c>
      <c r="D6">
        <f t="shared" si="0"/>
        <v>20566910.432475001</v>
      </c>
      <c r="E6" s="35">
        <f t="shared" si="1"/>
        <v>67062.917469431486</v>
      </c>
      <c r="H6" s="2"/>
      <c r="I6" s="3"/>
      <c r="J6" s="3"/>
      <c r="K6" s="3"/>
    </row>
    <row r="7" spans="2:13" x14ac:dyDescent="0.25">
      <c r="B7">
        <v>2017</v>
      </c>
      <c r="C7" s="34">
        <f>'Previsiones gas recuperado'!D15</f>
        <v>657</v>
      </c>
      <c r="D7">
        <f t="shared" si="0"/>
        <v>18418128.745499998</v>
      </c>
      <c r="E7" s="35">
        <f t="shared" si="1"/>
        <v>60056.344002475947</v>
      </c>
      <c r="H7" s="3"/>
      <c r="I7" s="3"/>
      <c r="J7" s="3"/>
      <c r="K7" s="3"/>
    </row>
    <row r="8" spans="2:13" x14ac:dyDescent="0.25">
      <c r="B8">
        <v>2018</v>
      </c>
      <c r="C8" s="34">
        <f>'Previsiones gas recuperado'!D16</f>
        <v>562.1</v>
      </c>
      <c r="D8">
        <f t="shared" si="0"/>
        <v>15757732.371150002</v>
      </c>
      <c r="E8" s="35">
        <f t="shared" si="1"/>
        <v>51381.538757673872</v>
      </c>
      <c r="H8" s="3"/>
      <c r="I8" s="3"/>
      <c r="J8" s="3"/>
      <c r="K8" s="3"/>
    </row>
    <row r="9" spans="2:13" x14ac:dyDescent="0.25">
      <c r="B9">
        <v>2019</v>
      </c>
      <c r="C9" s="34">
        <f>'Previsiones gas recuperado'!D17</f>
        <v>496.40000000000003</v>
      </c>
      <c r="D9">
        <f t="shared" si="0"/>
        <v>13915919.4966</v>
      </c>
      <c r="E9" s="35">
        <f t="shared" si="1"/>
        <v>45375.904357426276</v>
      </c>
      <c r="H9" s="3"/>
      <c r="I9" s="3"/>
      <c r="J9" s="3"/>
      <c r="K9" s="3"/>
    </row>
    <row r="10" spans="2:13" x14ac:dyDescent="0.25">
      <c r="B10">
        <v>2020</v>
      </c>
      <c r="C10" s="34">
        <f>'Previsiones gas recuperado'!D18</f>
        <v>456.25</v>
      </c>
      <c r="D10">
        <f t="shared" si="0"/>
        <v>12790367.184375001</v>
      </c>
      <c r="E10" s="35">
        <f t="shared" si="1"/>
        <v>41705.794446163862</v>
      </c>
      <c r="H10" s="15"/>
      <c r="I10" s="16"/>
      <c r="J10" s="16"/>
      <c r="K10" s="16"/>
      <c r="L10" s="16"/>
      <c r="M10" s="17"/>
    </row>
    <row r="11" spans="2:13" x14ac:dyDescent="0.25">
      <c r="E11" s="1">
        <f>SUM(E4:E10)</f>
        <v>394870.46181627939</v>
      </c>
      <c r="H11" s="18"/>
      <c r="I11" s="19"/>
      <c r="J11" s="19"/>
      <c r="K11" s="19"/>
      <c r="L11" s="19"/>
      <c r="M11" s="20"/>
    </row>
    <row r="12" spans="2:13" x14ac:dyDescent="0.25">
      <c r="H12" s="18"/>
      <c r="I12" s="19"/>
      <c r="J12" s="19"/>
      <c r="K12" s="19"/>
      <c r="L12" s="19"/>
      <c r="M12" s="20"/>
    </row>
    <row r="13" spans="2:13" x14ac:dyDescent="0.25">
      <c r="H13" s="48" t="s">
        <v>12</v>
      </c>
      <c r="I13" s="49"/>
      <c r="J13" s="49"/>
      <c r="K13" s="49"/>
      <c r="L13" s="49"/>
      <c r="M13" s="50"/>
    </row>
    <row r="14" spans="2:13" x14ac:dyDescent="0.25">
      <c r="H14" s="48" t="s">
        <v>11</v>
      </c>
      <c r="I14" s="49"/>
      <c r="J14" s="49"/>
      <c r="K14" s="49"/>
      <c r="L14" s="49"/>
      <c r="M14" s="50"/>
    </row>
    <row r="15" spans="2:13" x14ac:dyDescent="0.25">
      <c r="H15" s="51" t="s">
        <v>16</v>
      </c>
      <c r="I15" s="52"/>
      <c r="J15" s="52"/>
      <c r="K15" s="52"/>
      <c r="L15" s="52"/>
      <c r="M15" s="53"/>
    </row>
    <row r="16" spans="2:13" x14ac:dyDescent="0.25">
      <c r="D16" s="46" t="s">
        <v>5</v>
      </c>
      <c r="E16" s="46"/>
      <c r="H16" s="54" t="s">
        <v>13</v>
      </c>
      <c r="I16" s="55"/>
      <c r="J16" s="55"/>
      <c r="K16" s="55"/>
      <c r="L16" s="55"/>
      <c r="M16" s="56"/>
    </row>
    <row r="17" spans="4:5" ht="30" x14ac:dyDescent="0.25">
      <c r="D17" s="14" t="s">
        <v>8</v>
      </c>
      <c r="E17">
        <v>1596</v>
      </c>
    </row>
    <row r="18" spans="4:5" ht="30" x14ac:dyDescent="0.25">
      <c r="D18" s="14" t="s">
        <v>9</v>
      </c>
      <c r="E18">
        <f>E17*E25/E24/1000000000000</f>
        <v>5.9465278659172899E-5</v>
      </c>
    </row>
    <row r="19" spans="4:5" x14ac:dyDescent="0.25">
      <c r="D19" s="14" t="s">
        <v>10</v>
      </c>
      <c r="E19">
        <v>54.834000000000003</v>
      </c>
    </row>
    <row r="23" spans="4:5" x14ac:dyDescent="0.25">
      <c r="D23" s="46" t="s">
        <v>6</v>
      </c>
      <c r="E23" s="46"/>
    </row>
    <row r="24" spans="4:5" x14ac:dyDescent="0.25">
      <c r="D24" s="14" t="s">
        <v>3</v>
      </c>
      <c r="E24">
        <v>2.8316850000000001E-2</v>
      </c>
    </row>
    <row r="25" spans="4:5" x14ac:dyDescent="0.25">
      <c r="D25" s="14" t="s">
        <v>4</v>
      </c>
      <c r="E25">
        <v>1055.056</v>
      </c>
    </row>
  </sheetData>
  <mergeCells count="7">
    <mergeCell ref="D16:E16"/>
    <mergeCell ref="D23:E23"/>
    <mergeCell ref="B2:E2"/>
    <mergeCell ref="H13:M13"/>
    <mergeCell ref="H14:M14"/>
    <mergeCell ref="H15:M15"/>
    <mergeCell ref="H16:M16"/>
  </mergeCells>
  <pageMargins left="0.7" right="0.7" top="0.75" bottom="0.75" header="0.3" footer="0.3"/>
  <pageSetup paperSize="9" orientation="landscape" r:id="rId1"/>
  <colBreaks count="1" manualBreakCount="1">
    <brk id="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zoomScaleNormal="100" workbookViewId="0">
      <selection activeCell="K42" sqref="K42"/>
    </sheetView>
  </sheetViews>
  <sheetFormatPr baseColWidth="10" defaultRowHeight="15" x14ac:dyDescent="0.25"/>
  <cols>
    <col min="3" max="3" width="23.5703125" customWidth="1"/>
    <col min="4" max="4" width="17.42578125" customWidth="1"/>
  </cols>
  <sheetData>
    <row r="2" spans="2:12" x14ac:dyDescent="0.25">
      <c r="B2" s="61" t="s">
        <v>20</v>
      </c>
      <c r="C2" s="61"/>
      <c r="D2" s="61"/>
    </row>
    <row r="3" spans="2:12" ht="30" x14ac:dyDescent="0.25">
      <c r="B3" s="21" t="s">
        <v>0</v>
      </c>
      <c r="C3" s="13" t="s">
        <v>14</v>
      </c>
      <c r="D3" s="9" t="s">
        <v>19</v>
      </c>
    </row>
    <row r="4" spans="2:12" x14ac:dyDescent="0.25">
      <c r="B4">
        <v>2014</v>
      </c>
      <c r="C4" s="34">
        <f>5678*10/12</f>
        <v>4731.666666666667</v>
      </c>
      <c r="D4" s="35">
        <f>C4*$D$16</f>
        <v>6151.166666666667</v>
      </c>
    </row>
    <row r="5" spans="2:12" x14ac:dyDescent="0.25">
      <c r="B5">
        <v>2015</v>
      </c>
      <c r="C5" s="34">
        <v>5678</v>
      </c>
      <c r="D5" s="35">
        <f t="shared" ref="D5:D10" si="0">C5*$D$16</f>
        <v>7381.4000000000005</v>
      </c>
    </row>
    <row r="6" spans="2:12" x14ac:dyDescent="0.25">
      <c r="B6">
        <v>2016</v>
      </c>
      <c r="C6" s="34">
        <v>5678</v>
      </c>
      <c r="D6" s="35">
        <f t="shared" si="0"/>
        <v>7381.4000000000005</v>
      </c>
    </row>
    <row r="7" spans="2:12" x14ac:dyDescent="0.25">
      <c r="B7">
        <v>2017</v>
      </c>
      <c r="C7" s="34">
        <v>5678</v>
      </c>
      <c r="D7" s="35">
        <f t="shared" si="0"/>
        <v>7381.4000000000005</v>
      </c>
    </row>
    <row r="8" spans="2:12" x14ac:dyDescent="0.25">
      <c r="B8">
        <v>2018</v>
      </c>
      <c r="C8" s="34">
        <v>5678</v>
      </c>
      <c r="D8" s="35">
        <f t="shared" si="0"/>
        <v>7381.4000000000005</v>
      </c>
    </row>
    <row r="9" spans="2:12" x14ac:dyDescent="0.25">
      <c r="B9">
        <v>2019</v>
      </c>
      <c r="C9" s="34">
        <v>5678</v>
      </c>
      <c r="D9" s="35">
        <f t="shared" si="0"/>
        <v>7381.4000000000005</v>
      </c>
    </row>
    <row r="10" spans="2:12" x14ac:dyDescent="0.25">
      <c r="B10">
        <v>2020</v>
      </c>
      <c r="C10" s="34">
        <v>5678</v>
      </c>
      <c r="D10" s="35">
        <f t="shared" si="0"/>
        <v>7381.4000000000005</v>
      </c>
      <c r="G10" s="23"/>
      <c r="H10" s="24"/>
      <c r="I10" s="24"/>
      <c r="J10" s="24"/>
      <c r="K10" s="24"/>
      <c r="L10" s="25"/>
    </row>
    <row r="11" spans="2:12" x14ac:dyDescent="0.25">
      <c r="D11" s="36">
        <f>SUM(D4:D10)</f>
        <v>50439.566666666673</v>
      </c>
      <c r="G11" s="26"/>
      <c r="H11" s="27"/>
      <c r="I11" s="27"/>
      <c r="J11" s="27"/>
      <c r="K11" s="27"/>
      <c r="L11" s="28"/>
    </row>
    <row r="12" spans="2:12" x14ac:dyDescent="0.25">
      <c r="G12" s="26"/>
      <c r="H12" s="27"/>
      <c r="I12" s="27"/>
      <c r="J12" s="27"/>
      <c r="K12" s="27"/>
      <c r="L12" s="28"/>
    </row>
    <row r="13" spans="2:12" x14ac:dyDescent="0.25">
      <c r="G13" s="26"/>
      <c r="H13" s="27"/>
      <c r="I13" s="27"/>
      <c r="J13" s="27"/>
      <c r="K13" s="27"/>
      <c r="L13" s="28"/>
    </row>
    <row r="14" spans="2:12" x14ac:dyDescent="0.25">
      <c r="G14" s="62" t="s">
        <v>21</v>
      </c>
      <c r="H14" s="63"/>
      <c r="I14" s="63"/>
      <c r="J14" s="63"/>
      <c r="K14" s="63"/>
      <c r="L14" s="64"/>
    </row>
    <row r="15" spans="2:12" x14ac:dyDescent="0.25">
      <c r="C15" s="60" t="s">
        <v>5</v>
      </c>
      <c r="D15" s="60"/>
      <c r="G15" s="62" t="s">
        <v>34</v>
      </c>
      <c r="H15" s="63"/>
      <c r="I15" s="63"/>
      <c r="J15" s="63"/>
      <c r="K15" s="63"/>
      <c r="L15" s="64"/>
    </row>
    <row r="16" spans="2:12" x14ac:dyDescent="0.25">
      <c r="C16" s="11" t="s">
        <v>33</v>
      </c>
      <c r="D16">
        <v>1.3</v>
      </c>
      <c r="G16" s="62" t="s">
        <v>35</v>
      </c>
      <c r="H16" s="63"/>
      <c r="I16" s="63"/>
      <c r="J16" s="63"/>
      <c r="K16" s="63"/>
      <c r="L16" s="64"/>
    </row>
    <row r="17" spans="3:12" x14ac:dyDescent="0.25">
      <c r="C17" s="22" t="s">
        <v>37</v>
      </c>
      <c r="D17">
        <v>0</v>
      </c>
      <c r="G17" s="57" t="s">
        <v>36</v>
      </c>
      <c r="H17" s="58"/>
      <c r="I17" s="58"/>
      <c r="J17" s="58"/>
      <c r="K17" s="58"/>
      <c r="L17" s="59"/>
    </row>
  </sheetData>
  <mergeCells count="6">
    <mergeCell ref="G17:L17"/>
    <mergeCell ref="C15:D15"/>
    <mergeCell ref="B2:D2"/>
    <mergeCell ref="G14:L14"/>
    <mergeCell ref="G15:L15"/>
    <mergeCell ref="G16:L16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zoomScaleNormal="100" workbookViewId="0">
      <selection activeCell="E3" sqref="E3"/>
    </sheetView>
  </sheetViews>
  <sheetFormatPr baseColWidth="10" defaultRowHeight="15" x14ac:dyDescent="0.25"/>
  <cols>
    <col min="3" max="3" width="25" customWidth="1"/>
    <col min="4" max="4" width="14.42578125" customWidth="1"/>
  </cols>
  <sheetData>
    <row r="2" spans="2:12" x14ac:dyDescent="0.25">
      <c r="B2" s="65" t="s">
        <v>22</v>
      </c>
      <c r="C2" s="65"/>
      <c r="D2" s="65"/>
    </row>
    <row r="3" spans="2:12" ht="30" x14ac:dyDescent="0.25">
      <c r="B3" s="21" t="s">
        <v>0</v>
      </c>
      <c r="C3" s="13" t="s">
        <v>14</v>
      </c>
      <c r="D3" s="9" t="s">
        <v>30</v>
      </c>
    </row>
    <row r="4" spans="2:12" x14ac:dyDescent="0.25">
      <c r="B4">
        <v>2014</v>
      </c>
      <c r="C4" s="34">
        <f>10750*10/12</f>
        <v>8958.3333333333339</v>
      </c>
      <c r="D4" s="35">
        <f>C4*$D$16</f>
        <v>11645.833333333334</v>
      </c>
    </row>
    <row r="5" spans="2:12" x14ac:dyDescent="0.25">
      <c r="B5">
        <v>2015</v>
      </c>
      <c r="C5" s="34">
        <v>10750</v>
      </c>
      <c r="D5" s="35">
        <f t="shared" ref="D5:D10" si="0">C5*$D$16</f>
        <v>13975</v>
      </c>
      <c r="G5" s="29"/>
    </row>
    <row r="6" spans="2:12" x14ac:dyDescent="0.25">
      <c r="B6">
        <v>2016</v>
      </c>
      <c r="C6" s="34">
        <v>10750</v>
      </c>
      <c r="D6" s="35">
        <f t="shared" si="0"/>
        <v>13975</v>
      </c>
    </row>
    <row r="7" spans="2:12" x14ac:dyDescent="0.25">
      <c r="B7">
        <v>2017</v>
      </c>
      <c r="C7" s="34">
        <v>10750</v>
      </c>
      <c r="D7" s="35">
        <f t="shared" si="0"/>
        <v>13975</v>
      </c>
    </row>
    <row r="8" spans="2:12" x14ac:dyDescent="0.25">
      <c r="B8">
        <v>2018</v>
      </c>
      <c r="C8" s="34">
        <v>10750</v>
      </c>
      <c r="D8" s="35">
        <f t="shared" si="0"/>
        <v>13975</v>
      </c>
    </row>
    <row r="9" spans="2:12" x14ac:dyDescent="0.25">
      <c r="B9">
        <v>2019</v>
      </c>
      <c r="C9" s="34">
        <v>10750</v>
      </c>
      <c r="D9" s="35">
        <f t="shared" si="0"/>
        <v>13975</v>
      </c>
    </row>
    <row r="10" spans="2:12" x14ac:dyDescent="0.25">
      <c r="B10">
        <v>2020</v>
      </c>
      <c r="C10" s="34">
        <v>10750</v>
      </c>
      <c r="D10" s="35">
        <f t="shared" si="0"/>
        <v>13975</v>
      </c>
      <c r="G10" s="23"/>
      <c r="H10" s="24"/>
      <c r="I10" s="24"/>
      <c r="J10" s="24"/>
      <c r="K10" s="24"/>
      <c r="L10" s="25"/>
    </row>
    <row r="11" spans="2:12" x14ac:dyDescent="0.25">
      <c r="C11" s="34"/>
      <c r="D11" s="36">
        <f>SUM(D4:D10)</f>
        <v>95495.833333333343</v>
      </c>
      <c r="G11" s="26"/>
      <c r="H11" s="27"/>
      <c r="I11" s="27"/>
      <c r="J11" s="27"/>
      <c r="K11" s="27"/>
      <c r="L11" s="28"/>
    </row>
    <row r="12" spans="2:12" x14ac:dyDescent="0.25">
      <c r="G12" s="26"/>
      <c r="H12" s="27"/>
      <c r="I12" s="27"/>
      <c r="J12" s="27"/>
      <c r="K12" s="27"/>
      <c r="L12" s="28"/>
    </row>
    <row r="13" spans="2:12" x14ac:dyDescent="0.25">
      <c r="G13" s="26"/>
      <c r="H13" s="27"/>
      <c r="I13" s="27"/>
      <c r="J13" s="27"/>
      <c r="K13" s="27"/>
      <c r="L13" s="28"/>
    </row>
    <row r="14" spans="2:12" x14ac:dyDescent="0.25">
      <c r="G14" s="62" t="s">
        <v>31</v>
      </c>
      <c r="H14" s="63"/>
      <c r="I14" s="63"/>
      <c r="J14" s="63"/>
      <c r="K14" s="63"/>
      <c r="L14" s="64"/>
    </row>
    <row r="15" spans="2:12" x14ac:dyDescent="0.25">
      <c r="C15" s="60" t="s">
        <v>5</v>
      </c>
      <c r="D15" s="60"/>
      <c r="G15" s="62" t="s">
        <v>38</v>
      </c>
      <c r="H15" s="63"/>
      <c r="I15" s="63"/>
      <c r="J15" s="63"/>
      <c r="K15" s="63"/>
      <c r="L15" s="64"/>
    </row>
    <row r="16" spans="2:12" x14ac:dyDescent="0.25">
      <c r="C16" s="11" t="s">
        <v>33</v>
      </c>
      <c r="D16">
        <v>1.3</v>
      </c>
      <c r="G16" s="62" t="s">
        <v>35</v>
      </c>
      <c r="H16" s="63"/>
      <c r="I16" s="63"/>
      <c r="J16" s="63"/>
      <c r="K16" s="63"/>
      <c r="L16" s="64"/>
    </row>
    <row r="17" spans="3:12" x14ac:dyDescent="0.25">
      <c r="C17" s="22" t="s">
        <v>37</v>
      </c>
      <c r="D17">
        <v>0</v>
      </c>
      <c r="G17" s="57" t="s">
        <v>36</v>
      </c>
      <c r="H17" s="58"/>
      <c r="I17" s="58"/>
      <c r="J17" s="58"/>
      <c r="K17" s="58"/>
      <c r="L17" s="59"/>
    </row>
  </sheetData>
  <mergeCells count="6">
    <mergeCell ref="G17:L17"/>
    <mergeCell ref="B2:D2"/>
    <mergeCell ref="C15:D15"/>
    <mergeCell ref="G14:L14"/>
    <mergeCell ref="G15:L15"/>
    <mergeCell ref="G16:L16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U19"/>
  <sheetViews>
    <sheetView tabSelected="1" zoomScaleNormal="100" workbookViewId="0">
      <selection activeCell="G16" sqref="G16"/>
    </sheetView>
  </sheetViews>
  <sheetFormatPr baseColWidth="10" defaultRowHeight="15" x14ac:dyDescent="0.25"/>
  <cols>
    <col min="2" max="2" width="16.28515625" customWidth="1"/>
    <col min="3" max="3" width="16.7109375" customWidth="1"/>
    <col min="4" max="4" width="15" style="5" bestFit="1" customWidth="1"/>
    <col min="5" max="6" width="17" customWidth="1"/>
    <col min="20" max="20" width="29" bestFit="1" customWidth="1"/>
  </cols>
  <sheetData>
    <row r="2" spans="2:19" x14ac:dyDescent="0.25">
      <c r="B2" s="61" t="s">
        <v>24</v>
      </c>
      <c r="C2" s="61"/>
      <c r="D2" s="61"/>
      <c r="E2" s="61"/>
      <c r="F2" s="61"/>
    </row>
    <row r="3" spans="2:19" ht="30" x14ac:dyDescent="0.25">
      <c r="B3" s="8" t="s">
        <v>0</v>
      </c>
      <c r="C3" s="9" t="s">
        <v>23</v>
      </c>
      <c r="D3" s="9" t="s">
        <v>19</v>
      </c>
      <c r="E3" s="10" t="s">
        <v>29</v>
      </c>
      <c r="F3" s="9" t="s">
        <v>25</v>
      </c>
    </row>
    <row r="4" spans="2:19" x14ac:dyDescent="0.25">
      <c r="B4">
        <v>2014</v>
      </c>
      <c r="C4" s="34">
        <f>'Emisiones de la línea base'!E4</f>
        <v>60890.459891399223</v>
      </c>
      <c r="D4" s="37">
        <f>'Emisiones del proyecto'!D4</f>
        <v>6151.166666666667</v>
      </c>
      <c r="E4" s="38">
        <f>Leakage!D4</f>
        <v>11645.833333333334</v>
      </c>
      <c r="F4" s="39">
        <f>C4-D4-E4</f>
        <v>43093.459891399223</v>
      </c>
    </row>
    <row r="5" spans="2:19" x14ac:dyDescent="0.25">
      <c r="B5">
        <v>2015</v>
      </c>
      <c r="C5" s="34">
        <f>'Emisiones de la línea base'!E5</f>
        <v>68397.502891708718</v>
      </c>
      <c r="D5" s="38">
        <f>'Emisiones del proyecto'!D5</f>
        <v>7381.4000000000005</v>
      </c>
      <c r="E5" s="37">
        <f>Leakage!D5</f>
        <v>13975</v>
      </c>
      <c r="F5" s="39">
        <f t="shared" ref="F5:F10" si="0">C5-D5-E5</f>
        <v>47041.102891708717</v>
      </c>
    </row>
    <row r="6" spans="2:19" x14ac:dyDescent="0.25">
      <c r="B6">
        <v>2016</v>
      </c>
      <c r="C6" s="34">
        <f>'Emisiones de la línea base'!E6</f>
        <v>67062.917469431486</v>
      </c>
      <c r="D6" s="38">
        <f>'Emisiones del proyecto'!D6</f>
        <v>7381.4000000000005</v>
      </c>
      <c r="E6" s="37">
        <f>Leakage!D6</f>
        <v>13975</v>
      </c>
      <c r="F6" s="39">
        <f t="shared" si="0"/>
        <v>45706.517469431485</v>
      </c>
    </row>
    <row r="7" spans="2:19" x14ac:dyDescent="0.25">
      <c r="B7">
        <v>2017</v>
      </c>
      <c r="C7" s="34">
        <f>'Emisiones de la línea base'!E7</f>
        <v>60056.344002475947</v>
      </c>
      <c r="D7" s="38">
        <f>'Emisiones del proyecto'!D7</f>
        <v>7381.4000000000005</v>
      </c>
      <c r="E7" s="37">
        <f>Leakage!D7</f>
        <v>13975</v>
      </c>
      <c r="F7" s="39">
        <f t="shared" si="0"/>
        <v>38699.944002475946</v>
      </c>
    </row>
    <row r="8" spans="2:19" x14ac:dyDescent="0.25">
      <c r="B8">
        <v>2018</v>
      </c>
      <c r="C8" s="34">
        <f>'Emisiones de la línea base'!E8</f>
        <v>51381.538757673872</v>
      </c>
      <c r="D8" s="38">
        <f>'Emisiones del proyecto'!D8</f>
        <v>7381.4000000000005</v>
      </c>
      <c r="E8" s="37">
        <f>Leakage!D8</f>
        <v>13975</v>
      </c>
      <c r="F8" s="39">
        <f t="shared" si="0"/>
        <v>30025.138757673871</v>
      </c>
      <c r="S8" s="30"/>
    </row>
    <row r="9" spans="2:19" x14ac:dyDescent="0.25">
      <c r="B9">
        <v>2019</v>
      </c>
      <c r="C9" s="34">
        <f>'Emisiones de la línea base'!E9</f>
        <v>45375.904357426276</v>
      </c>
      <c r="D9" s="38">
        <f>'Emisiones del proyecto'!D9</f>
        <v>7381.4000000000005</v>
      </c>
      <c r="E9" s="37">
        <f>Leakage!D9</f>
        <v>13975</v>
      </c>
      <c r="F9" s="39">
        <f t="shared" si="0"/>
        <v>24019.504357426275</v>
      </c>
    </row>
    <row r="10" spans="2:19" x14ac:dyDescent="0.25">
      <c r="B10">
        <v>2020</v>
      </c>
      <c r="C10" s="34">
        <f>'Emisiones de la línea base'!E10</f>
        <v>41705.794446163862</v>
      </c>
      <c r="D10" s="38">
        <f>'Emisiones del proyecto'!D10</f>
        <v>7381.4000000000005</v>
      </c>
      <c r="E10" s="37">
        <f>Leakage!D10</f>
        <v>13975</v>
      </c>
      <c r="F10" s="41">
        <f t="shared" si="0"/>
        <v>20349.39444616386</v>
      </c>
      <c r="I10" s="23"/>
      <c r="J10" s="24"/>
      <c r="K10" s="24"/>
      <c r="L10" s="24"/>
      <c r="M10" s="24"/>
      <c r="N10" s="25"/>
    </row>
    <row r="11" spans="2:19" x14ac:dyDescent="0.25">
      <c r="C11" s="34"/>
      <c r="D11" s="40"/>
      <c r="E11" s="34"/>
      <c r="F11" s="42">
        <f>SUM(F4:F10)</f>
        <v>248935.06181627937</v>
      </c>
      <c r="I11" s="26"/>
      <c r="J11" s="27"/>
      <c r="K11" s="27"/>
      <c r="L11" s="27"/>
      <c r="M11" s="27"/>
      <c r="N11" s="28"/>
    </row>
    <row r="12" spans="2:19" x14ac:dyDescent="0.25">
      <c r="C12" s="7"/>
      <c r="D12" s="6"/>
      <c r="E12" s="7"/>
      <c r="F12" s="44">
        <f>F11/7</f>
        <v>35562.151688039907</v>
      </c>
      <c r="I12" s="26"/>
      <c r="J12" s="27"/>
      <c r="K12" s="27"/>
      <c r="L12" s="27"/>
      <c r="M12" s="27"/>
      <c r="N12" s="28"/>
    </row>
    <row r="13" spans="2:19" x14ac:dyDescent="0.25">
      <c r="I13" s="26"/>
      <c r="J13" s="27"/>
      <c r="K13" s="27"/>
      <c r="L13" s="27"/>
      <c r="M13" s="27"/>
      <c r="N13" s="28"/>
    </row>
    <row r="14" spans="2:19" x14ac:dyDescent="0.25">
      <c r="I14" s="62" t="s">
        <v>26</v>
      </c>
      <c r="J14" s="63"/>
      <c r="K14" s="63"/>
      <c r="L14" s="63"/>
      <c r="M14" s="63"/>
      <c r="N14" s="64"/>
    </row>
    <row r="15" spans="2:19" x14ac:dyDescent="0.25">
      <c r="I15" s="62" t="s">
        <v>27</v>
      </c>
      <c r="J15" s="63"/>
      <c r="K15" s="63"/>
      <c r="L15" s="63"/>
      <c r="M15" s="63"/>
      <c r="N15" s="64"/>
    </row>
    <row r="16" spans="2:19" x14ac:dyDescent="0.25">
      <c r="I16" s="62" t="s">
        <v>28</v>
      </c>
      <c r="J16" s="63"/>
      <c r="K16" s="63"/>
      <c r="L16" s="63"/>
      <c r="M16" s="63"/>
      <c r="N16" s="64"/>
    </row>
    <row r="17" spans="9:21" x14ac:dyDescent="0.25">
      <c r="I17" s="57" t="s">
        <v>32</v>
      </c>
      <c r="J17" s="58"/>
      <c r="K17" s="58"/>
      <c r="L17" s="58"/>
      <c r="M17" s="58"/>
      <c r="N17" s="59"/>
    </row>
    <row r="19" spans="9:21" x14ac:dyDescent="0.25">
      <c r="T19" s="31"/>
      <c r="U19" s="32"/>
    </row>
  </sheetData>
  <mergeCells count="5">
    <mergeCell ref="B2:F2"/>
    <mergeCell ref="I14:N14"/>
    <mergeCell ref="I15:N15"/>
    <mergeCell ref="I16:N16"/>
    <mergeCell ref="I17:N17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Previsiones gas recuperado</vt:lpstr>
      <vt:lpstr>Emisiones de la línea base</vt:lpstr>
      <vt:lpstr>Emisiones del proyecto</vt:lpstr>
      <vt:lpstr>Leakage</vt:lpstr>
      <vt:lpstr>Reducción de emisiones</vt:lpstr>
      <vt:lpstr>'Emisiones de la línea base'!Área_de_impresión</vt:lpstr>
      <vt:lpstr>'Emisiones del proyecto'!Área_de_impresión</vt:lpstr>
      <vt:lpstr>Leakage!Área_de_impresión</vt:lpstr>
      <vt:lpstr>'Previsiones gas recuperado'!Área_de_impresión</vt:lpstr>
      <vt:lpstr>'Reducción de emisiones'!Área_de_impresión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</dc:creator>
  <cp:lastModifiedBy>Germán</cp:lastModifiedBy>
  <cp:lastPrinted>2012-02-28T15:20:08Z</cp:lastPrinted>
  <dcterms:created xsi:type="dcterms:W3CDTF">2012-01-24T11:26:11Z</dcterms:created>
  <dcterms:modified xsi:type="dcterms:W3CDTF">2012-03-20T15:20:29Z</dcterms:modified>
</cp:coreProperties>
</file>